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8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s\econ data\real economy bulletin\REB Q4 2020\"/>
    </mc:Choice>
  </mc:AlternateContent>
  <bookViews>
    <workbookView xWindow="0" yWindow="0" windowWidth="19200" windowHeight="7960" firstSheet="8" activeTab="9"/>
  </bookViews>
  <sheets>
    <sheet name="1. Quarterly change in GDP" sheetId="2" r:id="rId1"/>
    <sheet name="2. GDP growth by sector" sheetId="3" r:id="rId2"/>
    <sheet name="3. Manufacturing sales" sheetId="9" r:id="rId3"/>
    <sheet name="4. Mining production &amp; sales" sheetId="4" r:id="rId4"/>
    <sheet name="5. Mining unit prices" sheetId="5" r:id="rId5"/>
    <sheet name="6. Auto sales" sheetId="6" r:id="rId6"/>
    <sheet name="7. Expenditure on GDP" sheetId="7" r:id="rId7"/>
    <sheet name="8. Employment by sector Q4" sheetId="15" r:id="rId8"/>
    <sheet name="9. Employment in mfg and other" sheetId="13" r:id="rId9"/>
    <sheet name="10. Employment by occupation" sheetId="14" r:id="rId10"/>
    <sheet name="11. Empl by mfg industry" sheetId="16" r:id="rId11"/>
    <sheet name="12. Mining employment" sheetId="17" r:id="rId12"/>
    <sheet name="13. Exports, imports, BOT" sheetId="19" r:id="rId13"/>
    <sheet name="14. Exports &amp; imports by sector" sheetId="20" r:id="rId14"/>
    <sheet name="15. Manufacturing trade" sheetId="21" r:id="rId15"/>
    <sheet name="16. Investment by organisation" sheetId="8" r:id="rId16"/>
    <sheet name="17. Return on assets" sheetId="22" r:id="rId17"/>
    <sheet name="18. Mining and mfg returns" sheetId="23" r:id="rId18"/>
  </sheets>
  <externalReferences>
    <externalReference r:id="rId19"/>
    <externalReference r:id="rId20"/>
    <externalReference r:id="rId21"/>
    <externalReference r:id="rId22"/>
  </externalReferences>
  <definedNames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0" hidden="1">'[1]Table 2.5'!#REF!</definedName>
    <definedName name="_AMO_SingleObject_104386094_ROM_F0.SEC2.Tabulate_1.SEC2.BDY.Cross_tabular_summary_report_Table_1" localSheetId="9" hidden="1">'[1]Table 2.5'!#REF!</definedName>
    <definedName name="_AMO_SingleObject_104386094_ROM_F0.SEC2.Tabulate_1.SEC2.BDY.Cross_tabular_summary_report_Table_1" localSheetId="10" hidden="1">'[1]Table 2.5'!#REF!</definedName>
    <definedName name="_AMO_SingleObject_104386094_ROM_F0.SEC2.Tabulate_1.SEC2.BDY.Cross_tabular_summary_report_Table_1" localSheetId="11" hidden="1">'[1]Table 2.5'!#REF!</definedName>
    <definedName name="_AMO_SingleObject_104386094_ROM_F0.SEC2.Tabulate_1.SEC2.BDY.Cross_tabular_summary_report_Table_1" localSheetId="12" hidden="1">'[1]Table 2.5'!#REF!</definedName>
    <definedName name="_AMO_SingleObject_104386094_ROM_F0.SEC2.Tabulate_1.SEC2.BDY.Cross_tabular_summary_report_Table_1" localSheetId="13" hidden="1">'[1]Table 2.5'!#REF!</definedName>
    <definedName name="_AMO_SingleObject_104386094_ROM_F0.SEC2.Tabulate_1.SEC2.BDY.Cross_tabular_summary_report_Table_1" localSheetId="14" hidden="1">'[1]Table 2.5'!#REF!</definedName>
    <definedName name="_AMO_SingleObject_104386094_ROM_F0.SEC2.Tabulate_1.SEC2.BDY.Cross_tabular_summary_report_Table_1" localSheetId="15" hidden="1">'[1]Table 2.5'!#REF!</definedName>
    <definedName name="_AMO_SingleObject_104386094_ROM_F0.SEC2.Tabulate_1.SEC2.BDY.Cross_tabular_summary_report_Table_1" localSheetId="16" hidden="1">'[1]Table 2.5'!#REF!</definedName>
    <definedName name="_AMO_SingleObject_104386094_ROM_F0.SEC2.Tabulate_1.SEC2.BDY.Cross_tabular_summary_report_Table_1" localSheetId="1" hidden="1">'[1]Table 2.5'!#REF!</definedName>
    <definedName name="_AMO_SingleObject_104386094_ROM_F0.SEC2.Tabulate_1.SEC2.BDY.Cross_tabular_summary_report_Table_1" localSheetId="6" hidden="1">'[1]Table 2.5'!#REF!</definedName>
    <definedName name="_AMO_SingleObject_104386094_ROM_F0.SEC2.Tabulate_1.SEC2.BDY.Cross_tabular_summary_report_Table_1" localSheetId="7" hidden="1">'[1]Table 2.5'!#REF!</definedName>
    <definedName name="_AMO_SingleObject_104386094_ROM_F0.SEC2.Tabulate_1.SEC2.BDY.Cross_tabular_summary_report_Table_1" localSheetId="8" hidden="1">'[1]Table 2.5'!#REF!</definedName>
    <definedName name="_AMO_SingleObject_104386094_ROM_F0.SEC2.Tabulate_1.SEC2.BDY.Cross_tabular_summary_report_Table_1" hidden="1">'[1]Table 2.5'!#REF!</definedName>
    <definedName name="_AMO_SingleObject_205779628_ROM_F0.SEC2.Tabulate_1.SEC2.BDY.Cross_tabular_summary_report_Table_1" localSheetId="0" hidden="1">[1]Table3.8b!#REF!</definedName>
    <definedName name="_AMO_SingleObject_205779628_ROM_F0.SEC2.Tabulate_1.SEC2.BDY.Cross_tabular_summary_report_Table_1" localSheetId="9" hidden="1">[1]Table3.8b!#REF!</definedName>
    <definedName name="_AMO_SingleObject_205779628_ROM_F0.SEC2.Tabulate_1.SEC2.BDY.Cross_tabular_summary_report_Table_1" localSheetId="10" hidden="1">[1]Table3.8b!#REF!</definedName>
    <definedName name="_AMO_SingleObject_205779628_ROM_F0.SEC2.Tabulate_1.SEC2.BDY.Cross_tabular_summary_report_Table_1" localSheetId="11" hidden="1">[1]Table3.8b!#REF!</definedName>
    <definedName name="_AMO_SingleObject_205779628_ROM_F0.SEC2.Tabulate_1.SEC2.BDY.Cross_tabular_summary_report_Table_1" localSheetId="12" hidden="1">[1]Table3.8b!#REF!</definedName>
    <definedName name="_AMO_SingleObject_205779628_ROM_F0.SEC2.Tabulate_1.SEC2.BDY.Cross_tabular_summary_report_Table_1" localSheetId="13" hidden="1">[1]Table3.8b!#REF!</definedName>
    <definedName name="_AMO_SingleObject_205779628_ROM_F0.SEC2.Tabulate_1.SEC2.BDY.Cross_tabular_summary_report_Table_1" localSheetId="14" hidden="1">[1]Table3.8b!#REF!</definedName>
    <definedName name="_AMO_SingleObject_205779628_ROM_F0.SEC2.Tabulate_1.SEC2.BDY.Cross_tabular_summary_report_Table_1" localSheetId="15" hidden="1">[1]Table3.8b!#REF!</definedName>
    <definedName name="_AMO_SingleObject_205779628_ROM_F0.SEC2.Tabulate_1.SEC2.BDY.Cross_tabular_summary_report_Table_1" localSheetId="16" hidden="1">[1]Table3.8b!#REF!</definedName>
    <definedName name="_AMO_SingleObject_205779628_ROM_F0.SEC2.Tabulate_1.SEC2.BDY.Cross_tabular_summary_report_Table_1" localSheetId="1" hidden="1">[1]Table3.8b!#REF!</definedName>
    <definedName name="_AMO_SingleObject_205779628_ROM_F0.SEC2.Tabulate_1.SEC2.BDY.Cross_tabular_summary_report_Table_1" localSheetId="6" hidden="1">[1]Table3.8b!#REF!</definedName>
    <definedName name="_AMO_SingleObject_205779628_ROM_F0.SEC2.Tabulate_1.SEC2.BDY.Cross_tabular_summary_report_Table_1" localSheetId="7" hidden="1">[1]Table3.8b!#REF!</definedName>
    <definedName name="_AMO_SingleObject_205779628_ROM_F0.SEC2.Tabulate_1.SEC2.BDY.Cross_tabular_summary_report_Table_1" localSheetId="8" hidden="1">[1]Table3.8b!#REF!</definedName>
    <definedName name="_AMO_SingleObject_205779628_ROM_F0.SEC2.Tabulate_1.SEC2.BDY.Cross_tabular_summary_report_Table_1" hidden="1">[1]Table3.8b!#REF!</definedName>
    <definedName name="_AMO_SingleObject_30194841_ROM_F0.SEC2.Tabulate_1.SEC1.FTR.TXT1" localSheetId="0" hidden="1">[1]Table6!#REF!</definedName>
    <definedName name="_AMO_SingleObject_30194841_ROM_F0.SEC2.Tabulate_1.SEC1.FTR.TXT1" localSheetId="9" hidden="1">[1]Table6!#REF!</definedName>
    <definedName name="_AMO_SingleObject_30194841_ROM_F0.SEC2.Tabulate_1.SEC1.FTR.TXT1" localSheetId="10" hidden="1">[1]Table6!#REF!</definedName>
    <definedName name="_AMO_SingleObject_30194841_ROM_F0.SEC2.Tabulate_1.SEC1.FTR.TXT1" localSheetId="11" hidden="1">[1]Table6!#REF!</definedName>
    <definedName name="_AMO_SingleObject_30194841_ROM_F0.SEC2.Tabulate_1.SEC1.FTR.TXT1" localSheetId="12" hidden="1">[1]Table6!#REF!</definedName>
    <definedName name="_AMO_SingleObject_30194841_ROM_F0.SEC2.Tabulate_1.SEC1.FTR.TXT1" localSheetId="13" hidden="1">[1]Table6!#REF!</definedName>
    <definedName name="_AMO_SingleObject_30194841_ROM_F0.SEC2.Tabulate_1.SEC1.FTR.TXT1" localSheetId="14" hidden="1">[1]Table6!#REF!</definedName>
    <definedName name="_AMO_SingleObject_30194841_ROM_F0.SEC2.Tabulate_1.SEC1.FTR.TXT1" localSheetId="15" hidden="1">[1]Table6!#REF!</definedName>
    <definedName name="_AMO_SingleObject_30194841_ROM_F0.SEC2.Tabulate_1.SEC1.FTR.TXT1" localSheetId="16" hidden="1">[1]Table6!#REF!</definedName>
    <definedName name="_AMO_SingleObject_30194841_ROM_F0.SEC2.Tabulate_1.SEC1.FTR.TXT1" localSheetId="1" hidden="1">[1]Table6!#REF!</definedName>
    <definedName name="_AMO_SingleObject_30194841_ROM_F0.SEC2.Tabulate_1.SEC1.FTR.TXT1" localSheetId="6" hidden="1">[1]Table6!#REF!</definedName>
    <definedName name="_AMO_SingleObject_30194841_ROM_F0.SEC2.Tabulate_1.SEC1.FTR.TXT1" localSheetId="7" hidden="1">[1]Table6!#REF!</definedName>
    <definedName name="_AMO_SingleObject_30194841_ROM_F0.SEC2.Tabulate_1.SEC1.FTR.TXT1" localSheetId="8" hidden="1">[1]Table6!#REF!</definedName>
    <definedName name="_AMO_SingleObject_30194841_ROM_F0.SEC2.Tabulate_1.SEC1.FTR.TXT1" hidden="1">[1]Table6!#REF!</definedName>
    <definedName name="_AMO_SingleObject_362274166__A1">'[2]Use table 2007 '!$A$2:$BN$121</definedName>
    <definedName name="_AMO_SingleObject_37461558_ROM_F0.SEC2.Tabulate_1.SEC1.HDR.TXT1" localSheetId="0" hidden="1">'[1]Table 2.4'!#REF!</definedName>
    <definedName name="_AMO_SingleObject_37461558_ROM_F0.SEC2.Tabulate_1.SEC1.HDR.TXT1" localSheetId="9" hidden="1">'[1]Table 2.4'!#REF!</definedName>
    <definedName name="_AMO_SingleObject_37461558_ROM_F0.SEC2.Tabulate_1.SEC1.HDR.TXT1" localSheetId="10" hidden="1">'[1]Table 2.4'!#REF!</definedName>
    <definedName name="_AMO_SingleObject_37461558_ROM_F0.SEC2.Tabulate_1.SEC1.HDR.TXT1" localSheetId="11" hidden="1">'[1]Table 2.4'!#REF!</definedName>
    <definedName name="_AMO_SingleObject_37461558_ROM_F0.SEC2.Tabulate_1.SEC1.HDR.TXT1" localSheetId="12" hidden="1">'[1]Table 2.4'!#REF!</definedName>
    <definedName name="_AMO_SingleObject_37461558_ROM_F0.SEC2.Tabulate_1.SEC1.HDR.TXT1" localSheetId="13" hidden="1">'[1]Table 2.4'!#REF!</definedName>
    <definedName name="_AMO_SingleObject_37461558_ROM_F0.SEC2.Tabulate_1.SEC1.HDR.TXT1" localSheetId="14" hidden="1">'[1]Table 2.4'!#REF!</definedName>
    <definedName name="_AMO_SingleObject_37461558_ROM_F0.SEC2.Tabulate_1.SEC1.HDR.TXT1" localSheetId="15" hidden="1">'[1]Table 2.4'!#REF!</definedName>
    <definedName name="_AMO_SingleObject_37461558_ROM_F0.SEC2.Tabulate_1.SEC1.HDR.TXT1" localSheetId="16" hidden="1">'[1]Table 2.4'!#REF!</definedName>
    <definedName name="_AMO_SingleObject_37461558_ROM_F0.SEC2.Tabulate_1.SEC1.HDR.TXT1" localSheetId="1" hidden="1">'[1]Table 2.4'!#REF!</definedName>
    <definedName name="_AMO_SingleObject_37461558_ROM_F0.SEC2.Tabulate_1.SEC1.HDR.TXT1" localSheetId="6" hidden="1">'[1]Table 2.4'!#REF!</definedName>
    <definedName name="_AMO_SingleObject_37461558_ROM_F0.SEC2.Tabulate_1.SEC1.HDR.TXT1" localSheetId="7" hidden="1">'[1]Table 2.4'!#REF!</definedName>
    <definedName name="_AMO_SingleObject_37461558_ROM_F0.SEC2.Tabulate_1.SEC1.HDR.TXT1" localSheetId="8" hidden="1">'[1]Table 2.4'!#REF!</definedName>
    <definedName name="_AMO_SingleObject_37461558_ROM_F0.SEC2.Tabulate_1.SEC1.HDR.TXT1" hidden="1">'[1]Table 2.4'!#REF!</definedName>
    <definedName name="_AMO_SingleObject_732119577_ROM_F0.SEC2.Tabulate_1.SEC2.BDY.Cross_tabular_summary_report_Table_1" localSheetId="0" hidden="1">[1]Table3.8c!#REF!</definedName>
    <definedName name="_AMO_SingleObject_732119577_ROM_F0.SEC2.Tabulate_1.SEC2.BDY.Cross_tabular_summary_report_Table_1" localSheetId="9" hidden="1">[1]Table3.8c!#REF!</definedName>
    <definedName name="_AMO_SingleObject_732119577_ROM_F0.SEC2.Tabulate_1.SEC2.BDY.Cross_tabular_summary_report_Table_1" localSheetId="10" hidden="1">[1]Table3.8c!#REF!</definedName>
    <definedName name="_AMO_SingleObject_732119577_ROM_F0.SEC2.Tabulate_1.SEC2.BDY.Cross_tabular_summary_report_Table_1" localSheetId="11" hidden="1">[1]Table3.8c!#REF!</definedName>
    <definedName name="_AMO_SingleObject_732119577_ROM_F0.SEC2.Tabulate_1.SEC2.BDY.Cross_tabular_summary_report_Table_1" localSheetId="12" hidden="1">[1]Table3.8c!#REF!</definedName>
    <definedName name="_AMO_SingleObject_732119577_ROM_F0.SEC2.Tabulate_1.SEC2.BDY.Cross_tabular_summary_report_Table_1" localSheetId="13" hidden="1">[1]Table3.8c!#REF!</definedName>
    <definedName name="_AMO_SingleObject_732119577_ROM_F0.SEC2.Tabulate_1.SEC2.BDY.Cross_tabular_summary_report_Table_1" localSheetId="14" hidden="1">[1]Table3.8c!#REF!</definedName>
    <definedName name="_AMO_SingleObject_732119577_ROM_F0.SEC2.Tabulate_1.SEC2.BDY.Cross_tabular_summary_report_Table_1" localSheetId="15" hidden="1">[1]Table3.8c!#REF!</definedName>
    <definedName name="_AMO_SingleObject_732119577_ROM_F0.SEC2.Tabulate_1.SEC2.BDY.Cross_tabular_summary_report_Table_1" localSheetId="16" hidden="1">[1]Table3.8c!#REF!</definedName>
    <definedName name="_AMO_SingleObject_732119577_ROM_F0.SEC2.Tabulate_1.SEC2.BDY.Cross_tabular_summary_report_Table_1" localSheetId="1" hidden="1">[1]Table3.8c!#REF!</definedName>
    <definedName name="_AMO_SingleObject_732119577_ROM_F0.SEC2.Tabulate_1.SEC2.BDY.Cross_tabular_summary_report_Table_1" localSheetId="6" hidden="1">[1]Table3.8c!#REF!</definedName>
    <definedName name="_AMO_SingleObject_732119577_ROM_F0.SEC2.Tabulate_1.SEC2.BDY.Cross_tabular_summary_report_Table_1" localSheetId="7" hidden="1">[1]Table3.8c!#REF!</definedName>
    <definedName name="_AMO_SingleObject_732119577_ROM_F0.SEC2.Tabulate_1.SEC2.BDY.Cross_tabular_summary_report_Table_1" localSheetId="8" hidden="1">[1]Table3.8c!#REF!</definedName>
    <definedName name="_AMO_SingleObject_732119577_ROM_F0.SEC2.Tabulate_1.SEC2.BDY.Cross_tabular_summary_report_Table_1" hidden="1">[1]Table3.8c!#REF!</definedName>
    <definedName name="_AMO_SingleObject_921006515_ROM_F0.SEC2.Tabulate_1.SEC1.FTR.TXT1" localSheetId="0" hidden="1">'[1]Table 2'!#REF!</definedName>
    <definedName name="_AMO_SingleObject_921006515_ROM_F0.SEC2.Tabulate_1.SEC1.FTR.TXT1" localSheetId="9" hidden="1">'[1]Table 2'!#REF!</definedName>
    <definedName name="_AMO_SingleObject_921006515_ROM_F0.SEC2.Tabulate_1.SEC1.FTR.TXT1" localSheetId="10" hidden="1">'[1]Table 2'!#REF!</definedName>
    <definedName name="_AMO_SingleObject_921006515_ROM_F0.SEC2.Tabulate_1.SEC1.FTR.TXT1" localSheetId="11" hidden="1">'[1]Table 2'!#REF!</definedName>
    <definedName name="_AMO_SingleObject_921006515_ROM_F0.SEC2.Tabulate_1.SEC1.FTR.TXT1" localSheetId="12" hidden="1">'[1]Table 2'!#REF!</definedName>
    <definedName name="_AMO_SingleObject_921006515_ROM_F0.SEC2.Tabulate_1.SEC1.FTR.TXT1" localSheetId="13" hidden="1">'[1]Table 2'!#REF!</definedName>
    <definedName name="_AMO_SingleObject_921006515_ROM_F0.SEC2.Tabulate_1.SEC1.FTR.TXT1" localSheetId="14" hidden="1">'[1]Table 2'!#REF!</definedName>
    <definedName name="_AMO_SingleObject_921006515_ROM_F0.SEC2.Tabulate_1.SEC1.FTR.TXT1" localSheetId="15" hidden="1">'[1]Table 2'!#REF!</definedName>
    <definedName name="_AMO_SingleObject_921006515_ROM_F0.SEC2.Tabulate_1.SEC1.FTR.TXT1" localSheetId="16" hidden="1">'[1]Table 2'!#REF!</definedName>
    <definedName name="_AMO_SingleObject_921006515_ROM_F0.SEC2.Tabulate_1.SEC1.FTR.TXT1" localSheetId="1" hidden="1">'[1]Table 2'!#REF!</definedName>
    <definedName name="_AMO_SingleObject_921006515_ROM_F0.SEC2.Tabulate_1.SEC1.FTR.TXT1" localSheetId="6" hidden="1">'[1]Table 2'!#REF!</definedName>
    <definedName name="_AMO_SingleObject_921006515_ROM_F0.SEC2.Tabulate_1.SEC1.FTR.TXT1" localSheetId="7" hidden="1">'[1]Table 2'!#REF!</definedName>
    <definedName name="_AMO_SingleObject_921006515_ROM_F0.SEC2.Tabulate_1.SEC1.FTR.TXT1" localSheetId="8" hidden="1">'[1]Table 2'!#REF!</definedName>
    <definedName name="_AMO_SingleObject_921006515_ROM_F0.SEC2.Tabulate_1.SEC1.FTR.TXT1" hidden="1">'[1]Table 2'!#REF!</definedName>
    <definedName name="_AMO_SingleObject_921006515_ROM_F0.SEC2.Tabulate_1.SEC1.HDR.TXT1" localSheetId="0" hidden="1">'[1]Table 2'!#REF!</definedName>
    <definedName name="_AMO_SingleObject_921006515_ROM_F0.SEC2.Tabulate_1.SEC1.HDR.TXT1" localSheetId="9" hidden="1">'[1]Table 2'!#REF!</definedName>
    <definedName name="_AMO_SingleObject_921006515_ROM_F0.SEC2.Tabulate_1.SEC1.HDR.TXT1" localSheetId="10" hidden="1">'[1]Table 2'!#REF!</definedName>
    <definedName name="_AMO_SingleObject_921006515_ROM_F0.SEC2.Tabulate_1.SEC1.HDR.TXT1" localSheetId="11" hidden="1">'[1]Table 2'!#REF!</definedName>
    <definedName name="_AMO_SingleObject_921006515_ROM_F0.SEC2.Tabulate_1.SEC1.HDR.TXT1" localSheetId="12" hidden="1">'[1]Table 2'!#REF!</definedName>
    <definedName name="_AMO_SingleObject_921006515_ROM_F0.SEC2.Tabulate_1.SEC1.HDR.TXT1" localSheetId="13" hidden="1">'[1]Table 2'!#REF!</definedName>
    <definedName name="_AMO_SingleObject_921006515_ROM_F0.SEC2.Tabulate_1.SEC1.HDR.TXT1" localSheetId="14" hidden="1">'[1]Table 2'!#REF!</definedName>
    <definedName name="_AMO_SingleObject_921006515_ROM_F0.SEC2.Tabulate_1.SEC1.HDR.TXT1" localSheetId="15" hidden="1">'[1]Table 2'!#REF!</definedName>
    <definedName name="_AMO_SingleObject_921006515_ROM_F0.SEC2.Tabulate_1.SEC1.HDR.TXT1" localSheetId="16" hidden="1">'[1]Table 2'!#REF!</definedName>
    <definedName name="_AMO_SingleObject_921006515_ROM_F0.SEC2.Tabulate_1.SEC1.HDR.TXT1" localSheetId="1" hidden="1">'[1]Table 2'!#REF!</definedName>
    <definedName name="_AMO_SingleObject_921006515_ROM_F0.SEC2.Tabulate_1.SEC1.HDR.TXT1" localSheetId="6" hidden="1">'[1]Table 2'!#REF!</definedName>
    <definedName name="_AMO_SingleObject_921006515_ROM_F0.SEC2.Tabulate_1.SEC1.HDR.TXT1" localSheetId="7" hidden="1">'[1]Table 2'!#REF!</definedName>
    <definedName name="_AMO_SingleObject_921006515_ROM_F0.SEC2.Tabulate_1.SEC1.HDR.TXT1" localSheetId="8" hidden="1">'[1]Table 2'!#REF!</definedName>
    <definedName name="_AMO_SingleObject_921006515_ROM_F0.SEC2.Tabulate_1.SEC1.HDR.TXT1" hidden="1">'[1]Table 2'!#REF!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hidden="1">"'1d42739f-d7fd-4229-a551-64b856bb941d'"</definedName>
    <definedName name="_AMO_XmlVersion" hidden="1">"'1'"</definedName>
    <definedName name="Asanda" localSheetId="12">'[3]Table 2'!#REF!</definedName>
    <definedName name="Asanda" localSheetId="13">'[3]Table 2'!#REF!</definedName>
    <definedName name="Asanda" localSheetId="14">'[3]Table 2'!#REF!</definedName>
    <definedName name="Asanda" localSheetId="15">'[3]Table 2'!#REF!</definedName>
    <definedName name="Asanda" localSheetId="6">'[3]Table 2'!#REF!</definedName>
    <definedName name="Asanda">'[3]Table 2'!#REF!</definedName>
    <definedName name="B1_av78" localSheetId="12">#REF!</definedName>
    <definedName name="B1_av78" localSheetId="13">#REF!</definedName>
    <definedName name="B1_av78" localSheetId="14">#REF!</definedName>
    <definedName name="B1_av78" localSheetId="15">#REF!</definedName>
    <definedName name="B1_av78" localSheetId="6">#REF!</definedName>
    <definedName name="B1_av78">#REF!</definedName>
    <definedName name="Budget_adjusted_96_97" localSheetId="12">#REF!</definedName>
    <definedName name="Budget_adjusted_96_97" localSheetId="13">#REF!</definedName>
    <definedName name="Budget_adjusted_96_97" localSheetId="14">#REF!</definedName>
    <definedName name="Budget_adjusted_96_97" localSheetId="15">#REF!</definedName>
    <definedName name="Budget_adjusted_96_97" localSheetId="6">#REF!</definedName>
    <definedName name="Budget_adjusted_96_97">#REF!</definedName>
    <definedName name="Budget_main_96_97" localSheetId="12">#REF!</definedName>
    <definedName name="Budget_main_96_97" localSheetId="13">#REF!</definedName>
    <definedName name="Budget_main_96_97" localSheetId="14">#REF!</definedName>
    <definedName name="Budget_main_96_97" localSheetId="15">#REF!</definedName>
    <definedName name="Budget_main_96_97" localSheetId="6">#REF!</definedName>
    <definedName name="Budget_main_96_97">#REF!</definedName>
    <definedName name="Budget_main_97_98" localSheetId="12">#REF!</definedName>
    <definedName name="Budget_main_97_98" localSheetId="13">#REF!</definedName>
    <definedName name="Budget_main_97_98" localSheetId="14">#REF!</definedName>
    <definedName name="Budget_main_97_98" localSheetId="15">#REF!</definedName>
    <definedName name="Budget_main_97_98" localSheetId="6">#REF!</definedName>
    <definedName name="Budget_main_97_98">#REF!</definedName>
    <definedName name="DHDHDH" localSheetId="12">#REF!</definedName>
    <definedName name="DHDHDH" localSheetId="13">#REF!</definedName>
    <definedName name="DHDHDH" localSheetId="14">#REF!</definedName>
    <definedName name="DHDHDH" localSheetId="15">#REF!</definedName>
    <definedName name="DHDHDH" localSheetId="6">#REF!</definedName>
    <definedName name="DHDHDH">#REF!</definedName>
    <definedName name="Emp" localSheetId="12" hidden="1">'[1]Table 2'!#REF!</definedName>
    <definedName name="Emp" localSheetId="13" hidden="1">'[1]Table 2'!#REF!</definedName>
    <definedName name="Emp" localSheetId="14" hidden="1">'[1]Table 2'!#REF!</definedName>
    <definedName name="Emp" localSheetId="15" hidden="1">'[1]Table 2'!#REF!</definedName>
    <definedName name="Emp" localSheetId="6" hidden="1">'[1]Table 2'!#REF!</definedName>
    <definedName name="Emp" hidden="1">'[1]Table 2'!#REF!</definedName>
    <definedName name="End_column" localSheetId="12">#REF!</definedName>
    <definedName name="End_column" localSheetId="13">#REF!</definedName>
    <definedName name="End_column" localSheetId="14">#REF!</definedName>
    <definedName name="End_column" localSheetId="15">#REF!</definedName>
    <definedName name="End_column" localSheetId="6">#REF!</definedName>
    <definedName name="End_column">#REF!</definedName>
    <definedName name="End_Row" localSheetId="12">#REF!</definedName>
    <definedName name="End_Row" localSheetId="13">#REF!</definedName>
    <definedName name="End_Row" localSheetId="14">#REF!</definedName>
    <definedName name="End_Row" localSheetId="15">#REF!</definedName>
    <definedName name="End_Row" localSheetId="6">#REF!</definedName>
    <definedName name="End_Row">#REF!</definedName>
    <definedName name="End_sheet" localSheetId="12">#REF!</definedName>
    <definedName name="End_sheet" localSheetId="13">#REF!</definedName>
    <definedName name="End_sheet" localSheetId="14">#REF!</definedName>
    <definedName name="End_sheet" localSheetId="15">#REF!</definedName>
    <definedName name="End_sheet" localSheetId="6">#REF!</definedName>
    <definedName name="End_sheet">#REF!</definedName>
    <definedName name="Expend_actual_96_97" localSheetId="12">#REF!</definedName>
    <definedName name="Expend_actual_96_97" localSheetId="13">#REF!</definedName>
    <definedName name="Expend_actual_96_97" localSheetId="14">#REF!</definedName>
    <definedName name="Expend_actual_96_97" localSheetId="15">#REF!</definedName>
    <definedName name="Expend_actual_96_97" localSheetId="6">#REF!</definedName>
    <definedName name="Expend_actual_96_97">#REF!</definedName>
    <definedName name="FitTall" localSheetId="12">#REF!</definedName>
    <definedName name="FitTall" localSheetId="13">#REF!</definedName>
    <definedName name="FitTall" localSheetId="14">#REF!</definedName>
    <definedName name="FitTall" localSheetId="15">#REF!</definedName>
    <definedName name="FitTall" localSheetId="6">#REF!</definedName>
    <definedName name="FitTall">#REF!</definedName>
    <definedName name="FitWide" localSheetId="12">#REF!</definedName>
    <definedName name="FitWide" localSheetId="13">#REF!</definedName>
    <definedName name="FitWide" localSheetId="14">#REF!</definedName>
    <definedName name="FitWide" localSheetId="15">#REF!</definedName>
    <definedName name="FitWide" localSheetId="6">#REF!</definedName>
    <definedName name="FitWide">#REF!</definedName>
    <definedName name="FooterLeft1" localSheetId="12">#REF!</definedName>
    <definedName name="FooterLeft1" localSheetId="13">#REF!</definedName>
    <definedName name="FooterLeft1" localSheetId="14">#REF!</definedName>
    <definedName name="FooterLeft1" localSheetId="15">#REF!</definedName>
    <definedName name="FooterLeft1" localSheetId="6">#REF!</definedName>
    <definedName name="FooterLeft1">#REF!</definedName>
    <definedName name="FooterLeft2" localSheetId="12">#REF!</definedName>
    <definedName name="FooterLeft2" localSheetId="13">#REF!</definedName>
    <definedName name="FooterLeft2" localSheetId="14">#REF!</definedName>
    <definedName name="FooterLeft2" localSheetId="15">#REF!</definedName>
    <definedName name="FooterLeft2" localSheetId="6">#REF!</definedName>
    <definedName name="FooterLeft2">#REF!</definedName>
    <definedName name="FooterLeft3" localSheetId="12">#REF!</definedName>
    <definedName name="FooterLeft3" localSheetId="13">#REF!</definedName>
    <definedName name="FooterLeft3" localSheetId="14">#REF!</definedName>
    <definedName name="FooterLeft3" localSheetId="15">#REF!</definedName>
    <definedName name="FooterLeft3" localSheetId="6">#REF!</definedName>
    <definedName name="FooterLeft3">#REF!</definedName>
    <definedName name="FooterLeft4" localSheetId="12">#REF!</definedName>
    <definedName name="FooterLeft4" localSheetId="13">#REF!</definedName>
    <definedName name="FooterLeft4" localSheetId="14">#REF!</definedName>
    <definedName name="FooterLeft4" localSheetId="15">#REF!</definedName>
    <definedName name="FooterLeft4" localSheetId="6">#REF!</definedName>
    <definedName name="FooterLeft4">#REF!</definedName>
    <definedName name="FooterLeft5" localSheetId="12">#REF!</definedName>
    <definedName name="FooterLeft5" localSheetId="13">#REF!</definedName>
    <definedName name="FooterLeft5" localSheetId="14">#REF!</definedName>
    <definedName name="FooterLeft5" localSheetId="15">#REF!</definedName>
    <definedName name="FooterLeft5" localSheetId="6">#REF!</definedName>
    <definedName name="FooterLeft5">#REF!</definedName>
    <definedName name="FooterLeft6" localSheetId="12">#REF!</definedName>
    <definedName name="FooterLeft6" localSheetId="13">#REF!</definedName>
    <definedName name="FooterLeft6" localSheetId="14">#REF!</definedName>
    <definedName name="FooterLeft6" localSheetId="15">#REF!</definedName>
    <definedName name="FooterLeft6" localSheetId="6">#REF!</definedName>
    <definedName name="FooterLeft6">#REF!</definedName>
    <definedName name="FooterRight1" localSheetId="12">#REF!</definedName>
    <definedName name="FooterRight1" localSheetId="13">#REF!</definedName>
    <definedName name="FooterRight1" localSheetId="14">#REF!</definedName>
    <definedName name="FooterRight1" localSheetId="15">#REF!</definedName>
    <definedName name="FooterRight1" localSheetId="6">#REF!</definedName>
    <definedName name="FooterRight1">#REF!</definedName>
    <definedName name="FooterRight2" localSheetId="12">#REF!</definedName>
    <definedName name="FooterRight2" localSheetId="13">#REF!</definedName>
    <definedName name="FooterRight2" localSheetId="14">#REF!</definedName>
    <definedName name="FooterRight2" localSheetId="15">#REF!</definedName>
    <definedName name="FooterRight2" localSheetId="6">#REF!</definedName>
    <definedName name="FooterRight2">#REF!</definedName>
    <definedName name="FooterRight3" localSheetId="12">#REF!</definedName>
    <definedName name="FooterRight3" localSheetId="13">#REF!</definedName>
    <definedName name="FooterRight3" localSheetId="14">#REF!</definedName>
    <definedName name="FooterRight3" localSheetId="15">#REF!</definedName>
    <definedName name="FooterRight3" localSheetId="6">#REF!</definedName>
    <definedName name="FooterRight3">#REF!</definedName>
    <definedName name="FooterRight4" localSheetId="12">#REF!</definedName>
    <definedName name="FooterRight4" localSheetId="13">#REF!</definedName>
    <definedName name="FooterRight4" localSheetId="14">#REF!</definedName>
    <definedName name="FooterRight4" localSheetId="15">#REF!</definedName>
    <definedName name="FooterRight4" localSheetId="6">#REF!</definedName>
    <definedName name="FooterRight4">#REF!</definedName>
    <definedName name="FooterRight5" localSheetId="12">#REF!</definedName>
    <definedName name="FooterRight5" localSheetId="13">#REF!</definedName>
    <definedName name="FooterRight5" localSheetId="14">#REF!</definedName>
    <definedName name="FooterRight5" localSheetId="15">#REF!</definedName>
    <definedName name="FooterRight5" localSheetId="6">#REF!</definedName>
    <definedName name="FooterRight5">#REF!</definedName>
    <definedName name="FooterRight6" localSheetId="12">#REF!</definedName>
    <definedName name="FooterRight6" localSheetId="13">#REF!</definedName>
    <definedName name="FooterRight6" localSheetId="14">#REF!</definedName>
    <definedName name="FooterRight6" localSheetId="15">#REF!</definedName>
    <definedName name="FooterRight6" localSheetId="6">#REF!</definedName>
    <definedName name="FooterRight6">#REF!</definedName>
    <definedName name="HeaderLeft1" localSheetId="12">#REF!</definedName>
    <definedName name="HeaderLeft1" localSheetId="13">#REF!</definedName>
    <definedName name="HeaderLeft1" localSheetId="14">#REF!</definedName>
    <definedName name="HeaderLeft1" localSheetId="15">#REF!</definedName>
    <definedName name="HeaderLeft1" localSheetId="6">#REF!</definedName>
    <definedName name="HeaderLeft1">#REF!</definedName>
    <definedName name="HeaderLeft2" localSheetId="12">#REF!</definedName>
    <definedName name="HeaderLeft2" localSheetId="13">#REF!</definedName>
    <definedName name="HeaderLeft2" localSheetId="14">#REF!</definedName>
    <definedName name="HeaderLeft2" localSheetId="15">#REF!</definedName>
    <definedName name="HeaderLeft2" localSheetId="6">#REF!</definedName>
    <definedName name="HeaderLeft2">#REF!</definedName>
    <definedName name="HeaderLeft3" localSheetId="12">#REF!</definedName>
    <definedName name="HeaderLeft3" localSheetId="13">#REF!</definedName>
    <definedName name="HeaderLeft3" localSheetId="14">#REF!</definedName>
    <definedName name="HeaderLeft3" localSheetId="15">#REF!</definedName>
    <definedName name="HeaderLeft3" localSheetId="6">#REF!</definedName>
    <definedName name="HeaderLeft3">#REF!</definedName>
    <definedName name="HeaderLeft4" localSheetId="12">#REF!</definedName>
    <definedName name="HeaderLeft4" localSheetId="13">#REF!</definedName>
    <definedName name="HeaderLeft4" localSheetId="14">#REF!</definedName>
    <definedName name="HeaderLeft4" localSheetId="15">#REF!</definedName>
    <definedName name="HeaderLeft4" localSheetId="6">#REF!</definedName>
    <definedName name="HeaderLeft4">#REF!</definedName>
    <definedName name="HeaderLeft5" localSheetId="12">#REF!</definedName>
    <definedName name="HeaderLeft5" localSheetId="13">#REF!</definedName>
    <definedName name="HeaderLeft5" localSheetId="14">#REF!</definedName>
    <definedName name="HeaderLeft5" localSheetId="15">#REF!</definedName>
    <definedName name="HeaderLeft5" localSheetId="6">#REF!</definedName>
    <definedName name="HeaderLeft5">#REF!</definedName>
    <definedName name="HeaderLeft6" localSheetId="12">#REF!</definedName>
    <definedName name="HeaderLeft6" localSheetId="13">#REF!</definedName>
    <definedName name="HeaderLeft6" localSheetId="14">#REF!</definedName>
    <definedName name="HeaderLeft6" localSheetId="15">#REF!</definedName>
    <definedName name="HeaderLeft6" localSheetId="6">#REF!</definedName>
    <definedName name="HeaderLeft6">#REF!</definedName>
    <definedName name="HeaderRight1" localSheetId="12">#REF!</definedName>
    <definedName name="HeaderRight1" localSheetId="13">#REF!</definedName>
    <definedName name="HeaderRight1" localSheetId="14">#REF!</definedName>
    <definedName name="HeaderRight1" localSheetId="15">#REF!</definedName>
    <definedName name="HeaderRight1" localSheetId="6">#REF!</definedName>
    <definedName name="HeaderRight1">#REF!</definedName>
    <definedName name="HeaderRight2" localSheetId="12">#REF!</definedName>
    <definedName name="HeaderRight2" localSheetId="13">#REF!</definedName>
    <definedName name="HeaderRight2" localSheetId="14">#REF!</definedName>
    <definedName name="HeaderRight2" localSheetId="15">#REF!</definedName>
    <definedName name="HeaderRight2" localSheetId="6">#REF!</definedName>
    <definedName name="HeaderRight2">#REF!</definedName>
    <definedName name="HeaderRight3" localSheetId="12">#REF!</definedName>
    <definedName name="HeaderRight3" localSheetId="13">#REF!</definedName>
    <definedName name="HeaderRight3" localSheetId="14">#REF!</definedName>
    <definedName name="HeaderRight3" localSheetId="15">#REF!</definedName>
    <definedName name="HeaderRight3" localSheetId="6">#REF!</definedName>
    <definedName name="HeaderRight3">#REF!</definedName>
    <definedName name="HeaderRight4" localSheetId="12">#REF!</definedName>
    <definedName name="HeaderRight4" localSheetId="13">#REF!</definedName>
    <definedName name="HeaderRight4" localSheetId="14">#REF!</definedName>
    <definedName name="HeaderRight4" localSheetId="15">#REF!</definedName>
    <definedName name="HeaderRight4" localSheetId="6">#REF!</definedName>
    <definedName name="HeaderRight4">#REF!</definedName>
    <definedName name="HeaderRight5" localSheetId="12">#REF!</definedName>
    <definedName name="HeaderRight5" localSheetId="13">#REF!</definedName>
    <definedName name="HeaderRight5" localSheetId="14">#REF!</definedName>
    <definedName name="HeaderRight5" localSheetId="15">#REF!</definedName>
    <definedName name="HeaderRight5" localSheetId="6">#REF!</definedName>
    <definedName name="HeaderRight5">#REF!</definedName>
    <definedName name="HeaderRight6" localSheetId="12">#REF!</definedName>
    <definedName name="HeaderRight6" localSheetId="13">#REF!</definedName>
    <definedName name="HeaderRight6" localSheetId="14">#REF!</definedName>
    <definedName name="HeaderRight6" localSheetId="15">#REF!</definedName>
    <definedName name="HeaderRight6" localSheetId="6">#REF!</definedName>
    <definedName name="HeaderRight6">#REF!</definedName>
    <definedName name="Hennie_Table_5_Page_1" localSheetId="12">#REF!</definedName>
    <definedName name="Hennie_Table_5_Page_1" localSheetId="13">#REF!</definedName>
    <definedName name="Hennie_Table_5_Page_1" localSheetId="14">#REF!</definedName>
    <definedName name="Hennie_Table_5_Page_1" localSheetId="15">#REF!</definedName>
    <definedName name="Hennie_Table_5_Page_1" localSheetId="6">#REF!</definedName>
    <definedName name="Hennie_Table_5_Page_1">#REF!</definedName>
    <definedName name="Hennie_Table_5_page_2" localSheetId="12">#REF!</definedName>
    <definedName name="Hennie_Table_5_page_2" localSheetId="13">#REF!</definedName>
    <definedName name="Hennie_Table_5_page_2" localSheetId="14">#REF!</definedName>
    <definedName name="Hennie_Table_5_page_2" localSheetId="15">#REF!</definedName>
    <definedName name="Hennie_Table_5_page_2" localSheetId="6">#REF!</definedName>
    <definedName name="Hennie_Table_5_page_2">#REF!</definedName>
    <definedName name="hhuh" localSheetId="12">#REF!</definedName>
    <definedName name="hhuh" localSheetId="13">#REF!</definedName>
    <definedName name="hhuh" localSheetId="14">#REF!</definedName>
    <definedName name="hhuh" localSheetId="15">#REF!</definedName>
    <definedName name="hhuh" localSheetId="6">#REF!</definedName>
    <definedName name="hhuh">#REF!</definedName>
    <definedName name="huh" localSheetId="12">#REF!</definedName>
    <definedName name="huh" localSheetId="13">#REF!</definedName>
    <definedName name="huh" localSheetId="14">#REF!</definedName>
    <definedName name="huh" localSheetId="15">#REF!</definedName>
    <definedName name="huh" localSheetId="6">#REF!</definedName>
    <definedName name="huh">#REF!</definedName>
    <definedName name="Index_Sheet_Kutools" localSheetId="12">#REF!</definedName>
    <definedName name="Index_Sheet_Kutools" localSheetId="13">#REF!</definedName>
    <definedName name="Index_Sheet_Kutools" localSheetId="14">#REF!</definedName>
    <definedName name="Index_Sheet_Kutools" localSheetId="15">#REF!</definedName>
    <definedName name="Index_Sheet_Kutools" localSheetId="6">#REF!</definedName>
    <definedName name="Index_Sheet_Kutools">#REF!</definedName>
    <definedName name="j" localSheetId="0" hidden="1">'[1]Table 2.5'!#REF!</definedName>
    <definedName name="j" localSheetId="9" hidden="1">'[1]Table 2.5'!#REF!</definedName>
    <definedName name="j" localSheetId="10" hidden="1">'[1]Table 2.5'!#REF!</definedName>
    <definedName name="j" localSheetId="11" hidden="1">'[1]Table 2.5'!#REF!</definedName>
    <definedName name="j" localSheetId="12" hidden="1">'[1]Table 2.5'!#REF!</definedName>
    <definedName name="j" localSheetId="13" hidden="1">'[1]Table 2.5'!#REF!</definedName>
    <definedName name="j" localSheetId="14" hidden="1">'[1]Table 2.5'!#REF!</definedName>
    <definedName name="j" localSheetId="15" hidden="1">'[1]Table 2.5'!#REF!</definedName>
    <definedName name="j" localSheetId="16" hidden="1">'[1]Table 2.5'!#REF!</definedName>
    <definedName name="j" localSheetId="1" hidden="1">'[1]Table 2.5'!#REF!</definedName>
    <definedName name="j" localSheetId="6" hidden="1">'[1]Table 2.5'!#REF!</definedName>
    <definedName name="j" localSheetId="7" hidden="1">'[1]Table 2.5'!#REF!</definedName>
    <definedName name="j" localSheetId="8" hidden="1">'[1]Table 2.5'!#REF!</definedName>
    <definedName name="j" hidden="1">'[1]Table 2.5'!#REF!</definedName>
    <definedName name="mmm" localSheetId="12" hidden="1">[1]Table6!#REF!</definedName>
    <definedName name="mmm" localSheetId="13" hidden="1">[1]Table6!#REF!</definedName>
    <definedName name="mmm" localSheetId="14" hidden="1">[1]Table6!#REF!</definedName>
    <definedName name="mmm" localSheetId="15" hidden="1">[1]Table6!#REF!</definedName>
    <definedName name="mmm" localSheetId="6" hidden="1">[1]Table6!#REF!</definedName>
    <definedName name="mmm" hidden="1">[1]Table6!#REF!</definedName>
    <definedName name="MTEF_initial_00_01" localSheetId="12">#REF!</definedName>
    <definedName name="MTEF_initial_00_01" localSheetId="13">#REF!</definedName>
    <definedName name="MTEF_initial_00_01" localSheetId="14">#REF!</definedName>
    <definedName name="MTEF_initial_00_01" localSheetId="15">#REF!</definedName>
    <definedName name="MTEF_initial_00_01" localSheetId="6">#REF!</definedName>
    <definedName name="MTEF_initial_00_01">#REF!</definedName>
    <definedName name="MTEF_initial_98_99" localSheetId="12">#REF!</definedName>
    <definedName name="MTEF_initial_98_99" localSheetId="13">#REF!</definedName>
    <definedName name="MTEF_initial_98_99" localSheetId="14">#REF!</definedName>
    <definedName name="MTEF_initial_98_99" localSheetId="15">#REF!</definedName>
    <definedName name="MTEF_initial_98_99" localSheetId="6">#REF!</definedName>
    <definedName name="MTEF_initial_98_99">#REF!</definedName>
    <definedName name="MTEF_initial_99_00" localSheetId="12">#REF!</definedName>
    <definedName name="MTEF_initial_99_00" localSheetId="13">#REF!</definedName>
    <definedName name="MTEF_initial_99_00" localSheetId="14">#REF!</definedName>
    <definedName name="MTEF_initial_99_00" localSheetId="15">#REF!</definedName>
    <definedName name="MTEF_initial_99_00" localSheetId="6">#REF!</definedName>
    <definedName name="MTEF_initial_99_00">#REF!</definedName>
    <definedName name="MTEF_revised_00_01" localSheetId="12">#REF!</definedName>
    <definedName name="MTEF_revised_00_01" localSheetId="13">#REF!</definedName>
    <definedName name="MTEF_revised_00_01" localSheetId="14">#REF!</definedName>
    <definedName name="MTEF_revised_00_01" localSheetId="15">#REF!</definedName>
    <definedName name="MTEF_revised_00_01" localSheetId="6">#REF!</definedName>
    <definedName name="MTEF_revised_00_01">#REF!</definedName>
    <definedName name="MTEF_revised_98_99" localSheetId="12">#REF!</definedName>
    <definedName name="MTEF_revised_98_99" localSheetId="13">#REF!</definedName>
    <definedName name="MTEF_revised_98_99" localSheetId="14">#REF!</definedName>
    <definedName name="MTEF_revised_98_99" localSheetId="15">#REF!</definedName>
    <definedName name="MTEF_revised_98_99" localSheetId="6">#REF!</definedName>
    <definedName name="MTEF_revised_98_99">#REF!</definedName>
    <definedName name="MTEF_revised_99_00" localSheetId="12">#REF!</definedName>
    <definedName name="MTEF_revised_99_00" localSheetId="13">#REF!</definedName>
    <definedName name="MTEF_revised_99_00" localSheetId="14">#REF!</definedName>
    <definedName name="MTEF_revised_99_00" localSheetId="15">#REF!</definedName>
    <definedName name="MTEF_revised_99_00" localSheetId="6">#REF!</definedName>
    <definedName name="MTEF_revised_99_00">#REF!</definedName>
    <definedName name="MyCurYear" localSheetId="12">#REF!</definedName>
    <definedName name="MyCurYear" localSheetId="13">#REF!</definedName>
    <definedName name="MyCurYear" localSheetId="14">#REF!</definedName>
    <definedName name="MyCurYear" localSheetId="15">#REF!</definedName>
    <definedName name="MyCurYear" localSheetId="6">#REF!</definedName>
    <definedName name="MyCurYear">#REF!</definedName>
    <definedName name="myHeight" localSheetId="12">#REF!</definedName>
    <definedName name="myHeight" localSheetId="13">#REF!</definedName>
    <definedName name="myHeight" localSheetId="14">#REF!</definedName>
    <definedName name="myHeight" localSheetId="15">#REF!</definedName>
    <definedName name="myHeight" localSheetId="6">#REF!</definedName>
    <definedName name="myHeight">#REF!</definedName>
    <definedName name="myWidth" localSheetId="12">#REF!</definedName>
    <definedName name="myWidth" localSheetId="13">#REF!</definedName>
    <definedName name="myWidth" localSheetId="14">#REF!</definedName>
    <definedName name="myWidth" localSheetId="15">#REF!</definedName>
    <definedName name="myWidth" localSheetId="6">#REF!</definedName>
    <definedName name="myWidth">#REF!</definedName>
    <definedName name="myWodth" localSheetId="12">#REF!</definedName>
    <definedName name="myWodth" localSheetId="13">#REF!</definedName>
    <definedName name="myWodth" localSheetId="14">#REF!</definedName>
    <definedName name="myWodth" localSheetId="15">#REF!</definedName>
    <definedName name="myWodth" localSheetId="6">#REF!</definedName>
    <definedName name="myWodth">#REF!</definedName>
    <definedName name="PrintArea" localSheetId="12">#REF!</definedName>
    <definedName name="PrintArea" localSheetId="13">#REF!</definedName>
    <definedName name="PrintArea" localSheetId="14">#REF!</definedName>
    <definedName name="PrintArea" localSheetId="15">#REF!</definedName>
    <definedName name="PrintArea" localSheetId="6">#REF!</definedName>
    <definedName name="PrintArea">#REF!</definedName>
    <definedName name="Projection_adjusted_97_98" localSheetId="12">#REF!</definedName>
    <definedName name="Projection_adjusted_97_98" localSheetId="13">#REF!</definedName>
    <definedName name="Projection_adjusted_97_98" localSheetId="14">#REF!</definedName>
    <definedName name="Projection_adjusted_97_98" localSheetId="15">#REF!</definedName>
    <definedName name="Projection_adjusted_97_98" localSheetId="6">#REF!</definedName>
    <definedName name="Projection_adjusted_97_98">#REF!</definedName>
    <definedName name="Projection_arithmetic_97_98" localSheetId="12">#REF!</definedName>
    <definedName name="Projection_arithmetic_97_98" localSheetId="13">#REF!</definedName>
    <definedName name="Projection_arithmetic_97_98" localSheetId="14">#REF!</definedName>
    <definedName name="Projection_arithmetic_97_98" localSheetId="15">#REF!</definedName>
    <definedName name="Projection_arithmetic_97_98" localSheetId="6">#REF!</definedName>
    <definedName name="Projection_arithmetic_97_98">#REF!</definedName>
    <definedName name="Projection_initial_97_98" localSheetId="12">#REF!</definedName>
    <definedName name="Projection_initial_97_98" localSheetId="13">#REF!</definedName>
    <definedName name="Projection_initial_97_98" localSheetId="14">#REF!</definedName>
    <definedName name="Projection_initial_97_98" localSheetId="15">#REF!</definedName>
    <definedName name="Projection_initial_97_98" localSheetId="6">#REF!</definedName>
    <definedName name="Projection_initial_97_98">#REF!</definedName>
    <definedName name="RowSettings" localSheetId="12">#REF!</definedName>
    <definedName name="RowSettings" localSheetId="13">#REF!</definedName>
    <definedName name="RowSettings" localSheetId="14">#REF!</definedName>
    <definedName name="RowSettings" localSheetId="15">#REF!</definedName>
    <definedName name="RowSettings" localSheetId="6">#REF!</definedName>
    <definedName name="RowSettings">#REF!</definedName>
    <definedName name="SASApp_GDPDATA_DISCREPANCY_TABLE" localSheetId="12">#REF!</definedName>
    <definedName name="SASApp_GDPDATA_DISCREPANCY_TABLE" localSheetId="13">#REF!</definedName>
    <definedName name="SASApp_GDPDATA_DISCREPANCY_TABLE" localSheetId="14">#REF!</definedName>
    <definedName name="SASApp_GDPDATA_DISCREPANCY_TABLE" localSheetId="15">#REF!</definedName>
    <definedName name="SASApp_GDPDATA_DISCREPANCY_TABLE" localSheetId="6">#REF!</definedName>
    <definedName name="SASApp_GDPDATA_DISCREPANCY_TABLE">#REF!</definedName>
    <definedName name="SASApp_GDPDATA_SUPPLY_TABLE_FIRST" localSheetId="12">#REF!</definedName>
    <definedName name="SASApp_GDPDATA_SUPPLY_TABLE_FIRST" localSheetId="13">#REF!</definedName>
    <definedName name="SASApp_GDPDATA_SUPPLY_TABLE_FIRST" localSheetId="14">#REF!</definedName>
    <definedName name="SASApp_GDPDATA_SUPPLY_TABLE_FIRST" localSheetId="15">#REF!</definedName>
    <definedName name="SASApp_GDPDATA_SUPPLY_TABLE_FIRST" localSheetId="6">#REF!</definedName>
    <definedName name="SASApp_GDPDATA_SUPPLY_TABLE_FIRST">#REF!</definedName>
    <definedName name="SASApp_GDPDATA_SUPPLY_TABLE_SECOND" localSheetId="12">#REF!</definedName>
    <definedName name="SASApp_GDPDATA_SUPPLY_TABLE_SECOND" localSheetId="13">#REF!</definedName>
    <definedName name="SASApp_GDPDATA_SUPPLY_TABLE_SECOND" localSheetId="14">#REF!</definedName>
    <definedName name="SASApp_GDPDATA_SUPPLY_TABLE_SECOND" localSheetId="15">#REF!</definedName>
    <definedName name="SASApp_GDPDATA_SUPPLY_TABLE_SECOND" localSheetId="6">#REF!</definedName>
    <definedName name="SASApp_GDPDATA_SUPPLY_TABLE_SECOND">#REF!</definedName>
    <definedName name="SASApp_GDPDATA_USE_TABLE_FIRST" localSheetId="12">#REF!</definedName>
    <definedName name="SASApp_GDPDATA_USE_TABLE_FIRST" localSheetId="13">#REF!</definedName>
    <definedName name="SASApp_GDPDATA_USE_TABLE_FIRST" localSheetId="14">#REF!</definedName>
    <definedName name="SASApp_GDPDATA_USE_TABLE_FIRST" localSheetId="15">#REF!</definedName>
    <definedName name="SASApp_GDPDATA_USE_TABLE_FIRST" localSheetId="6">#REF!</definedName>
    <definedName name="SASApp_GDPDATA_USE_TABLE_FIRST">#REF!</definedName>
    <definedName name="SASApp_GDPDATA_USE_TABLE_SECOND" localSheetId="12">#REF!</definedName>
    <definedName name="SASApp_GDPDATA_USE_TABLE_SECOND" localSheetId="13">#REF!</definedName>
    <definedName name="SASApp_GDPDATA_USE_TABLE_SECOND" localSheetId="14">#REF!</definedName>
    <definedName name="SASApp_GDPDATA_USE_TABLE_SECOND" localSheetId="15">#REF!</definedName>
    <definedName name="SASApp_GDPDATA_USE_TABLE_SECOND" localSheetId="6">#REF!</definedName>
    <definedName name="SASApp_GDPDATA_USE_TABLE_SECOND">#REF!</definedName>
    <definedName name="SEP08N_SML" localSheetId="12">#REF!</definedName>
    <definedName name="SEP08N_SML" localSheetId="13">#REF!</definedName>
    <definedName name="SEP08N_SML" localSheetId="14">#REF!</definedName>
    <definedName name="SEP08N_SML" localSheetId="15">#REF!</definedName>
    <definedName name="SEP08N_SML" localSheetId="6">#REF!</definedName>
    <definedName name="SEP08N_SML">#REF!</definedName>
    <definedName name="Start_column" localSheetId="12">#REF!</definedName>
    <definedName name="Start_column" localSheetId="13">#REF!</definedName>
    <definedName name="Start_column" localSheetId="14">#REF!</definedName>
    <definedName name="Start_column" localSheetId="15">#REF!</definedName>
    <definedName name="Start_column" localSheetId="6">#REF!</definedName>
    <definedName name="Start_column">#REF!</definedName>
    <definedName name="Start_Row" localSheetId="12">#REF!</definedName>
    <definedName name="Start_Row" localSheetId="13">#REF!</definedName>
    <definedName name="Start_Row" localSheetId="14">#REF!</definedName>
    <definedName name="Start_Row" localSheetId="15">#REF!</definedName>
    <definedName name="Start_Row" localSheetId="6">#REF!</definedName>
    <definedName name="Start_Row">#REF!</definedName>
    <definedName name="Start_sheet" localSheetId="12">#REF!</definedName>
    <definedName name="Start_sheet" localSheetId="13">#REF!</definedName>
    <definedName name="Start_sheet" localSheetId="14">#REF!</definedName>
    <definedName name="Start_sheet" localSheetId="15">#REF!</definedName>
    <definedName name="Start_sheet" localSheetId="6">#REF!</definedName>
    <definedName name="Start_sheet">#REF!</definedName>
    <definedName name="Summary_Tables" localSheetId="12">[3]Table1!#REF!</definedName>
    <definedName name="Summary_Tables" localSheetId="13">[3]Table1!#REF!</definedName>
    <definedName name="Summary_Tables" localSheetId="14">[3]Table1!#REF!</definedName>
    <definedName name="Summary_Tables" localSheetId="15">[3]Table1!#REF!</definedName>
    <definedName name="Summary_Tables" localSheetId="6">[3]Table1!#REF!</definedName>
    <definedName name="Summary_Tables">[3]Table1!#REF!</definedName>
    <definedName name="Summary_Tables_10" localSheetId="12">#REF!</definedName>
    <definedName name="Summary_Tables_10" localSheetId="13">#REF!</definedName>
    <definedName name="Summary_Tables_10" localSheetId="14">#REF!</definedName>
    <definedName name="Summary_Tables_10" localSheetId="15">#REF!</definedName>
    <definedName name="Summary_Tables_10" localSheetId="6">#REF!</definedName>
    <definedName name="Summary_Tables_10">#REF!</definedName>
    <definedName name="Summary_Tables_11" localSheetId="12">[3]Table2.1!#REF!</definedName>
    <definedName name="Summary_Tables_11" localSheetId="13">[3]Table2.1!#REF!</definedName>
    <definedName name="Summary_Tables_11" localSheetId="14">[3]Table2.1!#REF!</definedName>
    <definedName name="Summary_Tables_11" localSheetId="15">[3]Table2.1!#REF!</definedName>
    <definedName name="Summary_Tables_11" localSheetId="6">[3]Table2.1!#REF!</definedName>
    <definedName name="Summary_Tables_11">[3]Table2.1!#REF!</definedName>
    <definedName name="Summary_Tables_14" localSheetId="12">#REF!</definedName>
    <definedName name="Summary_Tables_14" localSheetId="13">#REF!</definedName>
    <definedName name="Summary_Tables_14" localSheetId="14">#REF!</definedName>
    <definedName name="Summary_Tables_14" localSheetId="15">#REF!</definedName>
    <definedName name="Summary_Tables_14" localSheetId="6">#REF!</definedName>
    <definedName name="Summary_Tables_14">#REF!</definedName>
    <definedName name="Summary_Tables_15" localSheetId="12">#REF!</definedName>
    <definedName name="Summary_Tables_15" localSheetId="13">#REF!</definedName>
    <definedName name="Summary_Tables_15" localSheetId="14">#REF!</definedName>
    <definedName name="Summary_Tables_15" localSheetId="15">#REF!</definedName>
    <definedName name="Summary_Tables_15" localSheetId="6">#REF!</definedName>
    <definedName name="Summary_Tables_15">#REF!</definedName>
    <definedName name="Summary_Tables_17" localSheetId="12">[3]Table3.7!#REF!</definedName>
    <definedName name="Summary_Tables_17" localSheetId="13">[3]Table3.7!#REF!</definedName>
    <definedName name="Summary_Tables_17" localSheetId="14">[3]Table3.7!#REF!</definedName>
    <definedName name="Summary_Tables_17" localSheetId="15">[3]Table3.7!#REF!</definedName>
    <definedName name="Summary_Tables_17" localSheetId="6">[3]Table3.7!#REF!</definedName>
    <definedName name="Summary_Tables_17">[3]Table3.7!#REF!</definedName>
    <definedName name="Summary_Tables_18" localSheetId="12">[3]Table3.6!#REF!</definedName>
    <definedName name="Summary_Tables_18" localSheetId="13">[3]Table3.6!#REF!</definedName>
    <definedName name="Summary_Tables_18" localSheetId="14">[3]Table3.6!#REF!</definedName>
    <definedName name="Summary_Tables_18" localSheetId="15">[3]Table3.6!#REF!</definedName>
    <definedName name="Summary_Tables_18" localSheetId="6">[3]Table3.6!#REF!</definedName>
    <definedName name="Summary_Tables_18">[3]Table3.6!#REF!</definedName>
    <definedName name="Summary_Tables_19" localSheetId="12">#REF!</definedName>
    <definedName name="Summary_Tables_19" localSheetId="13">#REF!</definedName>
    <definedName name="Summary_Tables_19" localSheetId="14">#REF!</definedName>
    <definedName name="Summary_Tables_19" localSheetId="15">#REF!</definedName>
    <definedName name="Summary_Tables_19" localSheetId="6">#REF!</definedName>
    <definedName name="Summary_Tables_19">#REF!</definedName>
    <definedName name="Summary_Tables_2" localSheetId="12">[3]Table1!#REF!</definedName>
    <definedName name="Summary_Tables_2" localSheetId="13">[3]Table1!#REF!</definedName>
    <definedName name="Summary_Tables_2" localSheetId="14">[3]Table1!#REF!</definedName>
    <definedName name="Summary_Tables_2" localSheetId="15">[3]Table1!#REF!</definedName>
    <definedName name="Summary_Tables_2" localSheetId="6">[3]Table1!#REF!</definedName>
    <definedName name="Summary_Tables_2">[3]Table1!#REF!</definedName>
    <definedName name="Summary_Tables_20" localSheetId="12">[3]Table4!#REF!</definedName>
    <definedName name="Summary_Tables_20" localSheetId="13">[3]Table4!#REF!</definedName>
    <definedName name="Summary_Tables_20" localSheetId="14">[3]Table4!#REF!</definedName>
    <definedName name="Summary_Tables_20" localSheetId="15">[3]Table4!#REF!</definedName>
    <definedName name="Summary_Tables_20" localSheetId="6">[3]Table4!#REF!</definedName>
    <definedName name="Summary_Tables_20">[3]Table4!#REF!</definedName>
    <definedName name="Summary_Tables_24" localSheetId="12">[3]Table8!#REF!</definedName>
    <definedName name="Summary_Tables_24" localSheetId="13">[3]Table8!#REF!</definedName>
    <definedName name="Summary_Tables_24" localSheetId="14">[3]Table8!#REF!</definedName>
    <definedName name="Summary_Tables_24" localSheetId="15">[3]Table8!#REF!</definedName>
    <definedName name="Summary_Tables_24" localSheetId="6">[3]Table8!#REF!</definedName>
    <definedName name="Summary_Tables_24">[3]Table8!#REF!</definedName>
    <definedName name="Summary_Tables_25" localSheetId="12">[3]Table2.2!#REF!</definedName>
    <definedName name="Summary_Tables_25" localSheetId="13">[3]Table2.2!#REF!</definedName>
    <definedName name="Summary_Tables_25" localSheetId="14">[3]Table2.2!#REF!</definedName>
    <definedName name="Summary_Tables_25" localSheetId="15">[3]Table2.2!#REF!</definedName>
    <definedName name="Summary_Tables_25" localSheetId="6">[3]Table2.2!#REF!</definedName>
    <definedName name="Summary_Tables_25">[3]Table2.2!#REF!</definedName>
    <definedName name="Summary_Tables_26" localSheetId="12">[3]Table2.2!#REF!</definedName>
    <definedName name="Summary_Tables_26" localSheetId="13">[3]Table2.2!#REF!</definedName>
    <definedName name="Summary_Tables_26" localSheetId="14">[3]Table2.2!#REF!</definedName>
    <definedName name="Summary_Tables_26" localSheetId="15">[3]Table2.2!#REF!</definedName>
    <definedName name="Summary_Tables_26" localSheetId="6">[3]Table2.2!#REF!</definedName>
    <definedName name="Summary_Tables_26">[3]Table2.2!#REF!</definedName>
    <definedName name="Summary_Tables_27" localSheetId="12">#REF!</definedName>
    <definedName name="Summary_Tables_27" localSheetId="13">#REF!</definedName>
    <definedName name="Summary_Tables_27" localSheetId="14">#REF!</definedName>
    <definedName name="Summary_Tables_27" localSheetId="15">#REF!</definedName>
    <definedName name="Summary_Tables_27" localSheetId="6">#REF!</definedName>
    <definedName name="Summary_Tables_27">#REF!</definedName>
    <definedName name="Summary_Tables_28" localSheetId="12">'[3]Table 2'!#REF!</definedName>
    <definedName name="Summary_Tables_28" localSheetId="13">'[3]Table 2'!#REF!</definedName>
    <definedName name="Summary_Tables_28" localSheetId="14">'[3]Table 2'!#REF!</definedName>
    <definedName name="Summary_Tables_28" localSheetId="15">'[3]Table 2'!#REF!</definedName>
    <definedName name="Summary_Tables_28" localSheetId="6">'[3]Table 2'!#REF!</definedName>
    <definedName name="Summary_Tables_28">'[3]Table 2'!#REF!</definedName>
    <definedName name="Summary_Tables_29" localSheetId="12">'[3]Table 2'!#REF!</definedName>
    <definedName name="Summary_Tables_29" localSheetId="13">'[3]Table 2'!#REF!</definedName>
    <definedName name="Summary_Tables_29" localSheetId="14">'[3]Table 2'!#REF!</definedName>
    <definedName name="Summary_Tables_29" localSheetId="15">'[3]Table 2'!#REF!</definedName>
    <definedName name="Summary_Tables_29" localSheetId="6">'[3]Table 2'!#REF!</definedName>
    <definedName name="Summary_Tables_29">'[3]Table 2'!#REF!</definedName>
    <definedName name="Summary_Tables_3" localSheetId="12">[4]Table2.2!#REF!</definedName>
    <definedName name="Summary_Tables_3" localSheetId="13">[4]Table2.2!#REF!</definedName>
    <definedName name="Summary_Tables_3" localSheetId="14">[4]Table2.2!#REF!</definedName>
    <definedName name="Summary_Tables_3" localSheetId="15">[4]Table2.2!#REF!</definedName>
    <definedName name="Summary_Tables_3" localSheetId="6">[4]Table2.2!#REF!</definedName>
    <definedName name="Summary_Tables_3">[4]Table2.2!#REF!</definedName>
    <definedName name="Summary_Tables_30" localSheetId="12">'[3]Table 2'!#REF!</definedName>
    <definedName name="Summary_Tables_30" localSheetId="13">'[3]Table 2'!#REF!</definedName>
    <definedName name="Summary_Tables_30" localSheetId="14">'[3]Table 2'!#REF!</definedName>
    <definedName name="Summary_Tables_30" localSheetId="15">'[3]Table 2'!#REF!</definedName>
    <definedName name="Summary_Tables_30" localSheetId="6">'[3]Table 2'!#REF!</definedName>
    <definedName name="Summary_Tables_30">'[3]Table 2'!#REF!</definedName>
    <definedName name="Summary_Tables_31" localSheetId="12">#REF!</definedName>
    <definedName name="Summary_Tables_31" localSheetId="13">#REF!</definedName>
    <definedName name="Summary_Tables_31" localSheetId="14">#REF!</definedName>
    <definedName name="Summary_Tables_31" localSheetId="15">#REF!</definedName>
    <definedName name="Summary_Tables_31" localSheetId="6">#REF!</definedName>
    <definedName name="Summary_Tables_31">#REF!</definedName>
    <definedName name="Summary_Tables_32" localSheetId="12">#REF!</definedName>
    <definedName name="Summary_Tables_32" localSheetId="13">#REF!</definedName>
    <definedName name="Summary_Tables_32" localSheetId="14">#REF!</definedName>
    <definedName name="Summary_Tables_32" localSheetId="15">#REF!</definedName>
    <definedName name="Summary_Tables_32" localSheetId="6">#REF!</definedName>
    <definedName name="Summary_Tables_32">#REF!</definedName>
    <definedName name="Summary_Tables_34" localSheetId="12">[3]Table3.8a!#REF!</definedName>
    <definedName name="Summary_Tables_34" localSheetId="13">[3]Table3.8a!#REF!</definedName>
    <definedName name="Summary_Tables_34" localSheetId="14">[3]Table3.8a!#REF!</definedName>
    <definedName name="Summary_Tables_34" localSheetId="15">[3]Table3.8a!#REF!</definedName>
    <definedName name="Summary_Tables_34" localSheetId="6">[3]Table3.8a!#REF!</definedName>
    <definedName name="Summary_Tables_34">[3]Table3.8a!#REF!</definedName>
    <definedName name="Summary_Tables_35" localSheetId="12">[3]Table3.8b!#REF!</definedName>
    <definedName name="Summary_Tables_35" localSheetId="13">[3]Table3.8b!#REF!</definedName>
    <definedName name="Summary_Tables_35" localSheetId="14">[3]Table3.8b!#REF!</definedName>
    <definedName name="Summary_Tables_35" localSheetId="15">[3]Table3.8b!#REF!</definedName>
    <definedName name="Summary_Tables_35" localSheetId="6">[3]Table3.8b!#REF!</definedName>
    <definedName name="Summary_Tables_35">[3]Table3.8b!#REF!</definedName>
    <definedName name="Summary_Tables_36" localSheetId="12">#REF!</definedName>
    <definedName name="Summary_Tables_36" localSheetId="13">#REF!</definedName>
    <definedName name="Summary_Tables_36" localSheetId="14">#REF!</definedName>
    <definedName name="Summary_Tables_36" localSheetId="15">#REF!</definedName>
    <definedName name="Summary_Tables_36" localSheetId="6">#REF!</definedName>
    <definedName name="Summary_Tables_36">#REF!</definedName>
    <definedName name="Summary_Tables_37" localSheetId="12">[3]Table3.8c!#REF!</definedName>
    <definedName name="Summary_Tables_37" localSheetId="13">[3]Table3.8c!#REF!</definedName>
    <definedName name="Summary_Tables_37" localSheetId="14">[3]Table3.8c!#REF!</definedName>
    <definedName name="Summary_Tables_37" localSheetId="15">[3]Table3.8c!#REF!</definedName>
    <definedName name="Summary_Tables_37" localSheetId="6">[3]Table3.8c!#REF!</definedName>
    <definedName name="Summary_Tables_37">[3]Table3.8c!#REF!</definedName>
    <definedName name="Summary_Tables_38" localSheetId="12">[3]Table3.6!#REF!</definedName>
    <definedName name="Summary_Tables_38" localSheetId="13">[3]Table3.6!#REF!</definedName>
    <definedName name="Summary_Tables_38" localSheetId="14">[3]Table3.6!#REF!</definedName>
    <definedName name="Summary_Tables_38" localSheetId="15">[3]Table3.6!#REF!</definedName>
    <definedName name="Summary_Tables_38" localSheetId="6">[3]Table3.6!#REF!</definedName>
    <definedName name="Summary_Tables_38">[3]Table3.6!#REF!</definedName>
    <definedName name="Summary_Tables_4" localSheetId="12">[4]Table2.2!#REF!</definedName>
    <definedName name="Summary_Tables_4" localSheetId="13">[4]Table2.2!#REF!</definedName>
    <definedName name="Summary_Tables_4" localSheetId="14">[4]Table2.2!#REF!</definedName>
    <definedName name="Summary_Tables_4" localSheetId="15">[4]Table2.2!#REF!</definedName>
    <definedName name="Summary_Tables_4" localSheetId="6">[4]Table2.2!#REF!</definedName>
    <definedName name="Summary_Tables_4">[4]Table2.2!#REF!</definedName>
    <definedName name="Summary_Tables_44" localSheetId="12">[3]Table2.1!#REF!</definedName>
    <definedName name="Summary_Tables_44" localSheetId="13">[3]Table2.1!#REF!</definedName>
    <definedName name="Summary_Tables_44" localSheetId="14">[3]Table2.1!#REF!</definedName>
    <definedName name="Summary_Tables_44" localSheetId="15">[3]Table2.1!#REF!</definedName>
    <definedName name="Summary_Tables_44" localSheetId="6">[3]Table2.1!#REF!</definedName>
    <definedName name="Summary_Tables_44">[3]Table2.1!#REF!</definedName>
    <definedName name="Summary_Tables_45" localSheetId="12">[3]Table2.2!#REF!</definedName>
    <definedName name="Summary_Tables_45" localSheetId="13">[3]Table2.2!#REF!</definedName>
    <definedName name="Summary_Tables_45" localSheetId="14">[3]Table2.2!#REF!</definedName>
    <definedName name="Summary_Tables_45" localSheetId="15">[3]Table2.2!#REF!</definedName>
    <definedName name="Summary_Tables_45" localSheetId="6">[3]Table2.2!#REF!</definedName>
    <definedName name="Summary_Tables_45">[3]Table2.2!#REF!</definedName>
    <definedName name="Summary_Tables_46" localSheetId="12">[3]Table2.2!#REF!</definedName>
    <definedName name="Summary_Tables_46" localSheetId="13">[3]Table2.2!#REF!</definedName>
    <definedName name="Summary_Tables_46" localSheetId="14">[3]Table2.2!#REF!</definedName>
    <definedName name="Summary_Tables_46" localSheetId="15">[3]Table2.2!#REF!</definedName>
    <definedName name="Summary_Tables_46" localSheetId="6">[3]Table2.2!#REF!</definedName>
    <definedName name="Summary_Tables_46">[3]Table2.2!#REF!</definedName>
    <definedName name="Summary_Tables_5" localSheetId="12">[4]Table2.2!#REF!</definedName>
    <definedName name="Summary_Tables_5" localSheetId="13">[4]Table2.2!#REF!</definedName>
    <definedName name="Summary_Tables_5" localSheetId="14">[4]Table2.2!#REF!</definedName>
    <definedName name="Summary_Tables_5" localSheetId="15">[4]Table2.2!#REF!</definedName>
    <definedName name="Summary_Tables_5" localSheetId="6">[4]Table2.2!#REF!</definedName>
    <definedName name="Summary_Tables_5">[4]Table2.2!#REF!</definedName>
    <definedName name="Z_B5B3C281_3E7C_11D3_BF6D_444553540000_.wvu.Cols" localSheetId="0" hidden="1">#REF!,#REF!,#REF!,#REF!</definedName>
    <definedName name="Z_B5B3C281_3E7C_11D3_BF6D_444553540000_.wvu.Cols" localSheetId="9" hidden="1">#REF!,#REF!,#REF!,#REF!</definedName>
    <definedName name="Z_B5B3C281_3E7C_11D3_BF6D_444553540000_.wvu.Cols" localSheetId="10" hidden="1">#REF!,#REF!,#REF!,#REF!</definedName>
    <definedName name="Z_B5B3C281_3E7C_11D3_BF6D_444553540000_.wvu.Cols" localSheetId="11" hidden="1">#REF!,#REF!,#REF!,#REF!</definedName>
    <definedName name="Z_B5B3C281_3E7C_11D3_BF6D_444553540000_.wvu.Cols" localSheetId="12" hidden="1">#REF!,#REF!,#REF!,#REF!</definedName>
    <definedName name="Z_B5B3C281_3E7C_11D3_BF6D_444553540000_.wvu.Cols" localSheetId="13" hidden="1">#REF!,#REF!,#REF!,#REF!</definedName>
    <definedName name="Z_B5B3C281_3E7C_11D3_BF6D_444553540000_.wvu.Cols" localSheetId="14" hidden="1">#REF!,#REF!,#REF!,#REF!</definedName>
    <definedName name="Z_B5B3C281_3E7C_11D3_BF6D_444553540000_.wvu.Cols" localSheetId="15" hidden="1">#REF!,#REF!,#REF!,#REF!</definedName>
    <definedName name="Z_B5B3C281_3E7C_11D3_BF6D_444553540000_.wvu.Cols" localSheetId="16" hidden="1">#REF!,#REF!,#REF!,#REF!</definedName>
    <definedName name="Z_B5B3C281_3E7C_11D3_BF6D_444553540000_.wvu.Cols" localSheetId="1" hidden="1">#REF!,#REF!,#REF!,#REF!</definedName>
    <definedName name="Z_B5B3C281_3E7C_11D3_BF6D_444553540000_.wvu.Cols" localSheetId="6" hidden="1">#REF!,#REF!,#REF!,#REF!</definedName>
    <definedName name="Z_B5B3C281_3E7C_11D3_BF6D_444553540000_.wvu.Cols" localSheetId="7" hidden="1">#REF!,#REF!,#REF!,#REF!</definedName>
    <definedName name="Z_B5B3C281_3E7C_11D3_BF6D_444553540000_.wvu.Cols" localSheetId="8" hidden="1">#REF!,#REF!,#REF!,#REF!</definedName>
    <definedName name="Z_B5B3C281_3E7C_11D3_BF6D_444553540000_.wvu.Cols" hidden="1">#REF!,#REF!,#REF!,#REF!</definedName>
    <definedName name="Z_B5B3C281_3E7C_11D3_BF6D_444553540000_.wvu.PrintArea" localSheetId="0" hidden="1">#REF!</definedName>
    <definedName name="Z_B5B3C281_3E7C_11D3_BF6D_444553540000_.wvu.PrintArea" localSheetId="9" hidden="1">#REF!</definedName>
    <definedName name="Z_B5B3C281_3E7C_11D3_BF6D_444553540000_.wvu.PrintArea" localSheetId="10" hidden="1">#REF!</definedName>
    <definedName name="Z_B5B3C281_3E7C_11D3_BF6D_444553540000_.wvu.PrintArea" localSheetId="11" hidden="1">#REF!</definedName>
    <definedName name="Z_B5B3C281_3E7C_11D3_BF6D_444553540000_.wvu.PrintArea" localSheetId="12" hidden="1">#REF!</definedName>
    <definedName name="Z_B5B3C281_3E7C_11D3_BF6D_444553540000_.wvu.PrintArea" localSheetId="13" hidden="1">#REF!</definedName>
    <definedName name="Z_B5B3C281_3E7C_11D3_BF6D_444553540000_.wvu.PrintArea" localSheetId="14" hidden="1">#REF!</definedName>
    <definedName name="Z_B5B3C281_3E7C_11D3_BF6D_444553540000_.wvu.PrintArea" localSheetId="15" hidden="1">#REF!</definedName>
    <definedName name="Z_B5B3C281_3E7C_11D3_BF6D_444553540000_.wvu.PrintArea" localSheetId="16" hidden="1">#REF!</definedName>
    <definedName name="Z_B5B3C281_3E7C_11D3_BF6D_444553540000_.wvu.PrintArea" localSheetId="1" hidden="1">#REF!</definedName>
    <definedName name="Z_B5B3C281_3E7C_11D3_BF6D_444553540000_.wvu.PrintArea" localSheetId="6" hidden="1">#REF!</definedName>
    <definedName name="Z_B5B3C281_3E7C_11D3_BF6D_444553540000_.wvu.PrintArea" localSheetId="7" hidden="1">#REF!</definedName>
    <definedName name="Z_B5B3C281_3E7C_11D3_BF6D_444553540000_.wvu.PrintArea" localSheetId="8" hidden="1">#REF!</definedName>
    <definedName name="Z_B5B3C281_3E7C_11D3_BF6D_444553540000_.wvu.PrintArea" hidden="1">#REF!</definedName>
    <definedName name="Z_B5B3C281_3E7C_11D3_BF6D_444553540000_.wvu.Rows" localSheetId="0" hidden="1">#REF!</definedName>
    <definedName name="Z_B5B3C281_3E7C_11D3_BF6D_444553540000_.wvu.Rows" localSheetId="9" hidden="1">#REF!</definedName>
    <definedName name="Z_B5B3C281_3E7C_11D3_BF6D_444553540000_.wvu.Rows" localSheetId="10" hidden="1">#REF!</definedName>
    <definedName name="Z_B5B3C281_3E7C_11D3_BF6D_444553540000_.wvu.Rows" localSheetId="11" hidden="1">#REF!</definedName>
    <definedName name="Z_B5B3C281_3E7C_11D3_BF6D_444553540000_.wvu.Rows" localSheetId="12" hidden="1">#REF!</definedName>
    <definedName name="Z_B5B3C281_3E7C_11D3_BF6D_444553540000_.wvu.Rows" localSheetId="13" hidden="1">#REF!</definedName>
    <definedName name="Z_B5B3C281_3E7C_11D3_BF6D_444553540000_.wvu.Rows" localSheetId="14" hidden="1">#REF!</definedName>
    <definedName name="Z_B5B3C281_3E7C_11D3_BF6D_444553540000_.wvu.Rows" localSheetId="15" hidden="1">#REF!</definedName>
    <definedName name="Z_B5B3C281_3E7C_11D3_BF6D_444553540000_.wvu.Rows" localSheetId="16" hidden="1">#REF!</definedName>
    <definedName name="Z_B5B3C281_3E7C_11D3_BF6D_444553540000_.wvu.Rows" localSheetId="1" hidden="1">#REF!</definedName>
    <definedName name="Z_B5B3C281_3E7C_11D3_BF6D_444553540000_.wvu.Rows" localSheetId="6" hidden="1">#REF!</definedName>
    <definedName name="Z_B5B3C281_3E7C_11D3_BF6D_444553540000_.wvu.Rows" localSheetId="7" hidden="1">#REF!</definedName>
    <definedName name="Z_B5B3C281_3E7C_11D3_BF6D_444553540000_.wvu.Rows" localSheetId="8" hidden="1">#REF!</definedName>
    <definedName name="Z_B5B3C281_3E7C_11D3_BF6D_444553540000_.wvu.Row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5" l="1"/>
  <c r="O26" i="15"/>
  <c r="N27" i="15"/>
  <c r="O27" i="15"/>
  <c r="B5" i="22"/>
  <c r="C5" i="22"/>
  <c r="D5" i="22"/>
  <c r="E5" i="22"/>
  <c r="B6" i="22"/>
  <c r="C6" i="22"/>
  <c r="D6" i="22"/>
  <c r="E6" i="22"/>
  <c r="B7" i="22"/>
  <c r="C7" i="22"/>
  <c r="D7" i="22"/>
  <c r="E7" i="22"/>
  <c r="B8" i="22"/>
  <c r="C8" i="22"/>
  <c r="D8" i="22"/>
  <c r="E8" i="22"/>
  <c r="B9" i="22"/>
  <c r="C9" i="22"/>
  <c r="D9" i="22"/>
  <c r="E9" i="22"/>
  <c r="B10" i="22"/>
  <c r="C10" i="22"/>
  <c r="D10" i="22"/>
  <c r="E10" i="22"/>
  <c r="B11" i="22"/>
  <c r="C11" i="22"/>
  <c r="D11" i="22"/>
  <c r="E11" i="22"/>
  <c r="B12" i="22"/>
  <c r="C12" i="22"/>
  <c r="D12" i="22"/>
  <c r="E12" i="22"/>
  <c r="B13" i="22"/>
  <c r="C13" i="22"/>
  <c r="D13" i="22"/>
  <c r="E13" i="22"/>
  <c r="B14" i="22"/>
  <c r="C14" i="22"/>
  <c r="D14" i="22"/>
  <c r="E14" i="22"/>
  <c r="B6" i="21" l="1"/>
  <c r="C6" i="21"/>
  <c r="D6" i="21"/>
  <c r="E6" i="21"/>
  <c r="F6" i="21"/>
  <c r="B7" i="21"/>
  <c r="C7" i="21"/>
  <c r="F7" i="21" s="1"/>
  <c r="D7" i="21"/>
  <c r="E7" i="21"/>
  <c r="B8" i="21"/>
  <c r="C8" i="21"/>
  <c r="D8" i="21"/>
  <c r="E8" i="21"/>
  <c r="F8" i="21"/>
  <c r="B9" i="21"/>
  <c r="C9" i="21"/>
  <c r="D9" i="21"/>
  <c r="E9" i="21"/>
  <c r="F9" i="21" s="1"/>
  <c r="B10" i="21"/>
  <c r="C10" i="21"/>
  <c r="F10" i="21" s="1"/>
  <c r="D10" i="21"/>
  <c r="E10" i="21"/>
  <c r="B11" i="21"/>
  <c r="C11" i="21"/>
  <c r="D11" i="21"/>
  <c r="E11" i="21"/>
  <c r="F11" i="21"/>
  <c r="B12" i="21"/>
  <c r="C12" i="21"/>
  <c r="D12" i="21"/>
  <c r="E12" i="21"/>
  <c r="F12" i="21"/>
  <c r="B13" i="21"/>
  <c r="C13" i="21"/>
  <c r="D13" i="21"/>
  <c r="E13" i="21"/>
  <c r="F13" i="21" s="1"/>
  <c r="B14" i="21"/>
  <c r="C14" i="21"/>
  <c r="D14" i="21"/>
  <c r="E14" i="21"/>
  <c r="F14" i="21"/>
  <c r="F19" i="21"/>
  <c r="F20" i="21"/>
  <c r="F21" i="21"/>
  <c r="F22" i="21"/>
  <c r="F23" i="21"/>
  <c r="F24" i="21"/>
  <c r="F25" i="21"/>
  <c r="F26" i="21"/>
  <c r="F27" i="21"/>
  <c r="K4" i="19"/>
  <c r="L4" i="19"/>
  <c r="M4" i="19"/>
  <c r="Q4" i="19"/>
  <c r="S4" i="19" s="1"/>
  <c r="R4" i="19"/>
  <c r="K5" i="19"/>
  <c r="M5" i="19" s="1"/>
  <c r="L5" i="19"/>
  <c r="Q5" i="19"/>
  <c r="R5" i="19"/>
  <c r="S5" i="19"/>
  <c r="K6" i="19"/>
  <c r="L6" i="19"/>
  <c r="M6" i="19"/>
  <c r="Q6" i="19"/>
  <c r="S6" i="19" s="1"/>
  <c r="R6" i="19"/>
  <c r="K7" i="19"/>
  <c r="M7" i="19" s="1"/>
  <c r="L7" i="19"/>
  <c r="Q7" i="19"/>
  <c r="R7" i="19"/>
  <c r="S7" i="19"/>
  <c r="K8" i="19"/>
  <c r="L8" i="19"/>
  <c r="M8" i="19"/>
  <c r="Q8" i="19"/>
  <c r="S8" i="19" s="1"/>
  <c r="R8" i="19"/>
  <c r="K9" i="19"/>
  <c r="M9" i="19" s="1"/>
  <c r="L9" i="19"/>
  <c r="Q9" i="19"/>
  <c r="R9" i="19"/>
  <c r="S9" i="19"/>
  <c r="K10" i="19"/>
  <c r="L10" i="19"/>
  <c r="M10" i="19"/>
  <c r="Q10" i="19"/>
  <c r="S10" i="19" s="1"/>
  <c r="R10" i="19"/>
  <c r="K11" i="19"/>
  <c r="M11" i="19" s="1"/>
  <c r="L11" i="19"/>
  <c r="Q11" i="19"/>
  <c r="R11" i="19"/>
  <c r="S11" i="19"/>
  <c r="K12" i="19"/>
  <c r="L12" i="19"/>
  <c r="M12" i="19"/>
  <c r="Q12" i="19"/>
  <c r="S12" i="19" s="1"/>
  <c r="R12" i="19"/>
  <c r="K13" i="19"/>
  <c r="M13" i="19" s="1"/>
  <c r="L13" i="19"/>
  <c r="Q13" i="19"/>
  <c r="R13" i="19"/>
  <c r="S13" i="19"/>
  <c r="K14" i="19"/>
  <c r="L14" i="19"/>
  <c r="M14" i="19"/>
  <c r="Q14" i="19"/>
  <c r="S14" i="19" s="1"/>
  <c r="R14" i="19"/>
  <c r="K15" i="19"/>
  <c r="M15" i="19" s="1"/>
  <c r="L15" i="19"/>
  <c r="Q15" i="19"/>
  <c r="R15" i="19"/>
  <c r="S15" i="19"/>
  <c r="K16" i="19"/>
  <c r="L16" i="19"/>
  <c r="M16" i="19"/>
  <c r="Q16" i="19"/>
  <c r="S16" i="19" s="1"/>
  <c r="R16" i="19"/>
  <c r="K17" i="19"/>
  <c r="M17" i="19" s="1"/>
  <c r="L17" i="19"/>
  <c r="Q17" i="19"/>
  <c r="R17" i="19"/>
  <c r="S17" i="19"/>
  <c r="K18" i="19"/>
  <c r="L18" i="19"/>
  <c r="M18" i="19"/>
  <c r="Q18" i="19"/>
  <c r="S18" i="19" s="1"/>
  <c r="R18" i="19"/>
  <c r="K19" i="19"/>
  <c r="M19" i="19" s="1"/>
  <c r="L19" i="19"/>
  <c r="Q19" i="19"/>
  <c r="R19" i="19"/>
  <c r="S19" i="19"/>
  <c r="K20" i="19"/>
  <c r="L20" i="19"/>
  <c r="M20" i="19"/>
  <c r="Q20" i="19"/>
  <c r="S20" i="19" s="1"/>
  <c r="R20" i="19"/>
  <c r="K21" i="19"/>
  <c r="M21" i="19" s="1"/>
  <c r="L21" i="19"/>
  <c r="Q21" i="19"/>
  <c r="R21" i="19"/>
  <c r="S21" i="19"/>
  <c r="K22" i="19"/>
  <c r="L22" i="19"/>
  <c r="M22" i="19"/>
  <c r="Q22" i="19"/>
  <c r="S22" i="19" s="1"/>
  <c r="R22" i="19"/>
  <c r="K23" i="19"/>
  <c r="M23" i="19" s="1"/>
  <c r="L23" i="19"/>
  <c r="Q23" i="19"/>
  <c r="R23" i="19"/>
  <c r="S23" i="19"/>
  <c r="K24" i="19"/>
  <c r="L24" i="19"/>
  <c r="M24" i="19"/>
  <c r="Q24" i="19"/>
  <c r="S24" i="19" s="1"/>
  <c r="R24" i="19"/>
  <c r="K25" i="19"/>
  <c r="M25" i="19" s="1"/>
  <c r="L25" i="19"/>
  <c r="Q25" i="19"/>
  <c r="R25" i="19"/>
  <c r="S25" i="19"/>
  <c r="K26" i="19"/>
  <c r="L26" i="19"/>
  <c r="M26" i="19"/>
  <c r="Q26" i="19"/>
  <c r="S26" i="19" s="1"/>
  <c r="R26" i="19"/>
  <c r="K27" i="19"/>
  <c r="M27" i="19" s="1"/>
  <c r="L27" i="19"/>
  <c r="Q27" i="19"/>
  <c r="R27" i="19"/>
  <c r="S27" i="19"/>
  <c r="K28" i="19"/>
  <c r="L28" i="19"/>
  <c r="M28" i="19"/>
  <c r="Q28" i="19"/>
  <c r="S28" i="19" s="1"/>
  <c r="R28" i="19"/>
  <c r="K29" i="19"/>
  <c r="M29" i="19" s="1"/>
  <c r="L29" i="19"/>
  <c r="Q29" i="19"/>
  <c r="R29" i="19"/>
  <c r="S29" i="19"/>
  <c r="K30" i="19"/>
  <c r="L30" i="19"/>
  <c r="M30" i="19"/>
  <c r="Q30" i="19"/>
  <c r="S30" i="19" s="1"/>
  <c r="R30" i="19"/>
  <c r="K31" i="19"/>
  <c r="M31" i="19" s="1"/>
  <c r="L31" i="19"/>
  <c r="Q31" i="19"/>
  <c r="R31" i="19"/>
  <c r="S31" i="19"/>
  <c r="K32" i="19"/>
  <c r="L32" i="19"/>
  <c r="M32" i="19"/>
  <c r="Q32" i="19"/>
  <c r="S32" i="19" s="1"/>
  <c r="R32" i="19"/>
  <c r="K33" i="19"/>
  <c r="M33" i="19" s="1"/>
  <c r="L33" i="19"/>
  <c r="Q33" i="19"/>
  <c r="R33" i="19"/>
  <c r="S33" i="19"/>
  <c r="K34" i="19"/>
  <c r="L34" i="19"/>
  <c r="M34" i="19"/>
  <c r="Q34" i="19"/>
  <c r="S34" i="19" s="1"/>
  <c r="R34" i="19"/>
  <c r="K35" i="19"/>
  <c r="M35" i="19" s="1"/>
  <c r="L35" i="19"/>
  <c r="Q35" i="19"/>
  <c r="R35" i="19"/>
  <c r="S35" i="19"/>
  <c r="K36" i="19"/>
  <c r="L36" i="19"/>
  <c r="M36" i="19"/>
  <c r="Q36" i="19"/>
  <c r="S36" i="19" s="1"/>
  <c r="R36" i="19"/>
  <c r="K37" i="19"/>
  <c r="M37" i="19" s="1"/>
  <c r="L37" i="19"/>
  <c r="Q37" i="19"/>
  <c r="R37" i="19"/>
  <c r="S37" i="19"/>
  <c r="K38" i="19"/>
  <c r="L38" i="19"/>
  <c r="M38" i="19"/>
  <c r="Q38" i="19"/>
  <c r="S38" i="19" s="1"/>
  <c r="R38" i="19"/>
  <c r="K39" i="19"/>
  <c r="M39" i="19" s="1"/>
  <c r="L39" i="19"/>
  <c r="Q39" i="19"/>
  <c r="R39" i="19"/>
  <c r="S39" i="19"/>
  <c r="K40" i="19"/>
  <c r="L40" i="19"/>
  <c r="M40" i="19"/>
  <c r="Q40" i="19"/>
  <c r="S40" i="19" s="1"/>
  <c r="R40" i="19"/>
  <c r="C41" i="19"/>
  <c r="K41" i="19" s="1"/>
  <c r="D41" i="19"/>
  <c r="L41" i="19" s="1"/>
  <c r="Q41" i="19"/>
  <c r="C42" i="19"/>
  <c r="K42" i="19" s="1"/>
  <c r="M42" i="19" s="1"/>
  <c r="D42" i="19"/>
  <c r="L42" i="19" s="1"/>
  <c r="Q42" i="19"/>
  <c r="C43" i="19"/>
  <c r="K43" i="19" s="1"/>
  <c r="D43" i="19"/>
  <c r="L43" i="19" s="1"/>
  <c r="Q43" i="19"/>
  <c r="K44" i="19"/>
  <c r="M44" i="19" s="1"/>
  <c r="L44" i="19"/>
  <c r="Q44" i="19"/>
  <c r="R44" i="19"/>
  <c r="S44" i="19"/>
  <c r="K45" i="19"/>
  <c r="L45" i="19"/>
  <c r="M45" i="19"/>
  <c r="Q45" i="19"/>
  <c r="S45" i="19" s="1"/>
  <c r="R45" i="19"/>
  <c r="K46" i="19"/>
  <c r="M46" i="19" s="1"/>
  <c r="L46" i="19"/>
  <c r="Q46" i="19"/>
  <c r="R46" i="19"/>
  <c r="S46" i="19"/>
  <c r="K47" i="19"/>
  <c r="L47" i="19"/>
  <c r="M47" i="19"/>
  <c r="Q47" i="19"/>
  <c r="S47" i="19" s="1"/>
  <c r="R47" i="19"/>
  <c r="M43" i="19" l="1"/>
  <c r="M41" i="19"/>
  <c r="R43" i="19"/>
  <c r="S43" i="19" s="1"/>
  <c r="R42" i="19"/>
  <c r="S42" i="19" s="1"/>
  <c r="R41" i="19"/>
  <c r="S41" i="19" s="1"/>
  <c r="C46" i="17"/>
  <c r="D46" i="17" s="1"/>
  <c r="C45" i="17"/>
  <c r="D45" i="17" s="1"/>
  <c r="C44" i="17"/>
  <c r="D44" i="17" s="1"/>
  <c r="C43" i="17"/>
  <c r="D43" i="17" s="1"/>
  <c r="C42" i="17"/>
  <c r="D42" i="17" s="1"/>
  <c r="C41" i="17"/>
  <c r="D41" i="17" s="1"/>
  <c r="C40" i="17"/>
  <c r="D40" i="17" s="1"/>
  <c r="C39" i="17"/>
  <c r="D39" i="17" s="1"/>
  <c r="C38" i="17"/>
  <c r="D38" i="17" s="1"/>
  <c r="C37" i="17"/>
  <c r="D37" i="17" s="1"/>
  <c r="C36" i="17"/>
  <c r="D36" i="17" s="1"/>
  <c r="C35" i="17"/>
  <c r="D35" i="17" s="1"/>
  <c r="C34" i="17"/>
  <c r="D34" i="17" s="1"/>
  <c r="C33" i="17"/>
  <c r="D33" i="17" s="1"/>
  <c r="C32" i="17"/>
  <c r="D32" i="17" s="1"/>
  <c r="C31" i="17"/>
  <c r="D31" i="17" s="1"/>
  <c r="C30" i="17"/>
  <c r="D30" i="17" s="1"/>
  <c r="C29" i="17"/>
  <c r="D29" i="17" s="1"/>
  <c r="C28" i="17"/>
  <c r="D28" i="17" s="1"/>
  <c r="C27" i="17"/>
  <c r="D27" i="17" s="1"/>
  <c r="C26" i="17"/>
  <c r="D26" i="17" s="1"/>
  <c r="C25" i="17"/>
  <c r="D25" i="17" s="1"/>
  <c r="C24" i="17"/>
  <c r="D24" i="17" s="1"/>
  <c r="C23" i="17"/>
  <c r="D23" i="17" s="1"/>
  <c r="C22" i="17"/>
  <c r="D22" i="17" s="1"/>
  <c r="C21" i="17"/>
  <c r="D21" i="17" s="1"/>
  <c r="C20" i="17"/>
  <c r="D20" i="17" s="1"/>
  <c r="C19" i="17"/>
  <c r="D19" i="17" s="1"/>
  <c r="C18" i="17"/>
  <c r="D18" i="17" s="1"/>
  <c r="C17" i="17"/>
  <c r="D17" i="17" s="1"/>
  <c r="C16" i="17"/>
  <c r="D16" i="17" s="1"/>
  <c r="C15" i="17"/>
  <c r="D15" i="17" s="1"/>
  <c r="C14" i="17"/>
  <c r="D14" i="17" s="1"/>
  <c r="C13" i="17"/>
  <c r="D13" i="17" s="1"/>
  <c r="C12" i="17"/>
  <c r="D12" i="17" s="1"/>
  <c r="C11" i="17"/>
  <c r="D11" i="17" s="1"/>
  <c r="C10" i="17"/>
  <c r="D10" i="17" s="1"/>
  <c r="C9" i="17"/>
  <c r="D9" i="17" s="1"/>
  <c r="C8" i="17"/>
  <c r="D8" i="17" s="1"/>
  <c r="C7" i="17"/>
  <c r="D7" i="17" s="1"/>
  <c r="C6" i="17"/>
  <c r="D6" i="17" s="1"/>
  <c r="C5" i="17"/>
  <c r="D5" i="17" s="1"/>
  <c r="B4" i="16" l="1"/>
  <c r="C4" i="16"/>
  <c r="G4" i="16"/>
  <c r="B5" i="16"/>
  <c r="B14" i="16" s="1"/>
  <c r="C5" i="16"/>
  <c r="C14" i="16" s="1"/>
  <c r="G5" i="16"/>
  <c r="B6" i="16"/>
  <c r="C6" i="16"/>
  <c r="G6" i="16"/>
  <c r="B7" i="16"/>
  <c r="C7" i="16"/>
  <c r="G7" i="16"/>
  <c r="B8" i="16"/>
  <c r="C8" i="16"/>
  <c r="G8" i="16"/>
  <c r="B9" i="16"/>
  <c r="C9" i="16"/>
  <c r="G9" i="16"/>
  <c r="B10" i="16"/>
  <c r="C10" i="16"/>
  <c r="G10" i="16"/>
  <c r="B11" i="16"/>
  <c r="C11" i="16"/>
  <c r="G11" i="16"/>
  <c r="B12" i="16"/>
  <c r="C12" i="16"/>
  <c r="G12" i="16"/>
  <c r="B13" i="16"/>
  <c r="C13" i="16"/>
  <c r="G13" i="16"/>
  <c r="D14" i="16"/>
  <c r="E14" i="16"/>
  <c r="F14" i="16"/>
  <c r="G14" i="16" s="1"/>
  <c r="H4" i="16" l="1"/>
  <c r="H6" i="16"/>
  <c r="H12" i="16"/>
  <c r="H14" i="16"/>
  <c r="H7" i="16"/>
  <c r="H9" i="16"/>
  <c r="H11" i="16"/>
  <c r="H13" i="16"/>
  <c r="H8" i="16"/>
  <c r="H5" i="16"/>
  <c r="H10" i="16"/>
  <c r="Q26" i="15" l="1"/>
  <c r="R26" i="15" s="1"/>
  <c r="P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M24" i="15"/>
  <c r="M14" i="15" s="1"/>
  <c r="M8" i="15" s="1"/>
  <c r="R22" i="15"/>
  <c r="M22" i="15"/>
  <c r="R21" i="15"/>
  <c r="M21" i="15"/>
  <c r="M20" i="15"/>
  <c r="R20" i="15" s="1"/>
  <c r="M19" i="15"/>
  <c r="R19" i="15" s="1"/>
  <c r="R18" i="15"/>
  <c r="M18" i="15"/>
  <c r="R17" i="15"/>
  <c r="M17" i="15"/>
  <c r="M16" i="15"/>
  <c r="R16" i="15" s="1"/>
  <c r="Q14" i="15"/>
  <c r="Q8" i="15" s="1"/>
  <c r="P14" i="15"/>
  <c r="P8" i="15" s="1"/>
  <c r="O14" i="15"/>
  <c r="N14" i="15"/>
  <c r="N8" i="15" s="1"/>
  <c r="L14" i="15"/>
  <c r="K14" i="15"/>
  <c r="J14" i="15"/>
  <c r="I14" i="15"/>
  <c r="I8" i="15" s="1"/>
  <c r="H14" i="15"/>
  <c r="H8" i="15" s="1"/>
  <c r="G14" i="15"/>
  <c r="G8" i="15" s="1"/>
  <c r="F14" i="15"/>
  <c r="F8" i="15" s="1"/>
  <c r="E14" i="15"/>
  <c r="D14" i="15"/>
  <c r="C14" i="15"/>
  <c r="B14" i="15"/>
  <c r="R13" i="15"/>
  <c r="R12" i="15"/>
  <c r="R11" i="15"/>
  <c r="R10" i="15"/>
  <c r="O8" i="15"/>
  <c r="L8" i="15"/>
  <c r="J8" i="15"/>
  <c r="E8" i="15"/>
  <c r="D8" i="15"/>
  <c r="C8" i="15"/>
  <c r="B8" i="15"/>
  <c r="Q7" i="15"/>
  <c r="R7" i="15" s="1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Q6" i="15"/>
  <c r="R6" i="15" s="1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Q5" i="15"/>
  <c r="R5" i="15" s="1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Q4" i="15"/>
  <c r="Q27" i="15" s="1"/>
  <c r="R27" i="15" s="1"/>
  <c r="P4" i="15"/>
  <c r="P27" i="15" s="1"/>
  <c r="O4" i="15"/>
  <c r="N4" i="15"/>
  <c r="M4" i="15"/>
  <c r="M27" i="15" s="1"/>
  <c r="L4" i="15"/>
  <c r="L27" i="15" s="1"/>
  <c r="K4" i="15"/>
  <c r="K27" i="15" s="1"/>
  <c r="J4" i="15"/>
  <c r="J27" i="15" s="1"/>
  <c r="I4" i="15"/>
  <c r="I27" i="15" s="1"/>
  <c r="H4" i="15"/>
  <c r="H27" i="15" s="1"/>
  <c r="G4" i="15"/>
  <c r="G27" i="15" s="1"/>
  <c r="F4" i="15"/>
  <c r="F27" i="15" s="1"/>
  <c r="E4" i="15"/>
  <c r="E27" i="15" s="1"/>
  <c r="D4" i="15"/>
  <c r="D27" i="15" s="1"/>
  <c r="C4" i="15"/>
  <c r="C27" i="15" s="1"/>
  <c r="B4" i="15"/>
  <c r="B27" i="15" s="1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AM6" i="13"/>
  <c r="AN6" i="13"/>
  <c r="AO6" i="13"/>
  <c r="AP6" i="13"/>
  <c r="AQ6" i="13"/>
  <c r="AR6" i="13"/>
  <c r="AS6" i="13"/>
  <c r="AT6" i="13"/>
  <c r="AU6" i="13"/>
  <c r="AV6" i="13"/>
  <c r="AW6" i="13"/>
  <c r="AX6" i="13"/>
  <c r="AY6" i="13"/>
  <c r="AZ6" i="13"/>
  <c r="BA6" i="13"/>
  <c r="BB6" i="13" s="1"/>
  <c r="H7" i="13"/>
  <c r="P7" i="13"/>
  <c r="T7" i="13"/>
  <c r="X7" i="13"/>
  <c r="AB7" i="13"/>
  <c r="AF7" i="13"/>
  <c r="AJ7" i="13"/>
  <c r="AN7" i="13"/>
  <c r="AR7" i="13"/>
  <c r="AV7" i="13"/>
  <c r="AZ7" i="13"/>
  <c r="B10" i="13"/>
  <c r="I7" i="13" s="1"/>
  <c r="C10" i="13"/>
  <c r="C7" i="13" s="1"/>
  <c r="D10" i="13"/>
  <c r="E10" i="13"/>
  <c r="E7" i="13" s="1"/>
  <c r="F10" i="13"/>
  <c r="F7" i="13" s="1"/>
  <c r="G10" i="13"/>
  <c r="G7" i="13" s="1"/>
  <c r="H10" i="13"/>
  <c r="I10" i="13"/>
  <c r="J10" i="13"/>
  <c r="J7" i="13" s="1"/>
  <c r="K10" i="13"/>
  <c r="K7" i="13" s="1"/>
  <c r="L10" i="13"/>
  <c r="M10" i="13"/>
  <c r="M7" i="13" s="1"/>
  <c r="N10" i="13"/>
  <c r="N7" i="13" s="1"/>
  <c r="O10" i="13"/>
  <c r="O7" i="13" s="1"/>
  <c r="P10" i="13"/>
  <c r="Q10" i="13"/>
  <c r="R10" i="13"/>
  <c r="R7" i="13" s="1"/>
  <c r="S10" i="13"/>
  <c r="S7" i="13" s="1"/>
  <c r="T10" i="13"/>
  <c r="U10" i="13"/>
  <c r="U7" i="13" s="1"/>
  <c r="V10" i="13"/>
  <c r="V7" i="13" s="1"/>
  <c r="W10" i="13"/>
  <c r="W7" i="13" s="1"/>
  <c r="X10" i="13"/>
  <c r="Y10" i="13"/>
  <c r="Z10" i="13"/>
  <c r="Z7" i="13" s="1"/>
  <c r="AA10" i="13"/>
  <c r="AA7" i="13" s="1"/>
  <c r="AB10" i="13"/>
  <c r="AC10" i="13"/>
  <c r="AC7" i="13" s="1"/>
  <c r="AD10" i="13"/>
  <c r="AD7" i="13" s="1"/>
  <c r="AE10" i="13"/>
  <c r="AE7" i="13" s="1"/>
  <c r="AF10" i="13"/>
  <c r="AG10" i="13"/>
  <c r="AH10" i="13"/>
  <c r="AH7" i="13" s="1"/>
  <c r="AI10" i="13"/>
  <c r="AI7" i="13" s="1"/>
  <c r="AJ10" i="13"/>
  <c r="AK10" i="13"/>
  <c r="AK7" i="13" s="1"/>
  <c r="AL10" i="13"/>
  <c r="AL7" i="13" s="1"/>
  <c r="AM10" i="13"/>
  <c r="AM7" i="13" s="1"/>
  <c r="AN10" i="13"/>
  <c r="AO10" i="13"/>
  <c r="AP10" i="13"/>
  <c r="AP7" i="13" s="1"/>
  <c r="AQ10" i="13"/>
  <c r="AQ7" i="13" s="1"/>
  <c r="AR10" i="13"/>
  <c r="AS10" i="13"/>
  <c r="AS7" i="13" s="1"/>
  <c r="AT10" i="13"/>
  <c r="AT7" i="13" s="1"/>
  <c r="AU10" i="13"/>
  <c r="AU7" i="13" s="1"/>
  <c r="AV10" i="13"/>
  <c r="AW10" i="13"/>
  <c r="AX10" i="13"/>
  <c r="AX7" i="13" s="1"/>
  <c r="AY10" i="13"/>
  <c r="AY7" i="13" s="1"/>
  <c r="AZ10" i="13"/>
  <c r="BA10" i="13"/>
  <c r="BA7" i="13" s="1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BA12" i="13"/>
  <c r="R8" i="15" l="1"/>
  <c r="R14" i="15"/>
  <c r="R4" i="15"/>
  <c r="R24" i="15"/>
  <c r="BB7" i="13"/>
  <c r="L7" i="13"/>
  <c r="D7" i="13"/>
  <c r="B7" i="13"/>
  <c r="AW7" i="13"/>
  <c r="AO7" i="13"/>
  <c r="AG7" i="13"/>
  <c r="Y7" i="13"/>
  <c r="Q7" i="13"/>
  <c r="J6" i="8" l="1"/>
  <c r="J7" i="8"/>
  <c r="J8" i="8"/>
  <c r="B12" i="8"/>
  <c r="C12" i="8"/>
  <c r="D12" i="8"/>
  <c r="E12" i="8"/>
  <c r="F12" i="8"/>
  <c r="G12" i="8"/>
  <c r="H12" i="8"/>
  <c r="I12" i="8"/>
  <c r="B13" i="8"/>
  <c r="C13" i="8"/>
  <c r="D13" i="8"/>
  <c r="E13" i="8"/>
  <c r="F13" i="8"/>
  <c r="G13" i="8"/>
  <c r="H13" i="8"/>
  <c r="I13" i="8"/>
  <c r="B14" i="8"/>
  <c r="C14" i="8"/>
  <c r="D14" i="8"/>
  <c r="E14" i="8"/>
  <c r="F14" i="8"/>
  <c r="G14" i="8"/>
  <c r="H14" i="8"/>
  <c r="I14" i="8"/>
  <c r="I8" i="8" s="1"/>
  <c r="J13" i="8"/>
  <c r="J14" i="8"/>
  <c r="J12" i="8"/>
  <c r="J16" i="8"/>
  <c r="J17" i="8"/>
  <c r="J18" i="8"/>
  <c r="I18" i="8"/>
  <c r="H18" i="8"/>
  <c r="G18" i="8"/>
  <c r="F18" i="8"/>
  <c r="E18" i="8"/>
  <c r="D18" i="8"/>
  <c r="C18" i="8"/>
  <c r="B18" i="8"/>
  <c r="I17" i="8"/>
  <c r="H17" i="8"/>
  <c r="G17" i="8"/>
  <c r="F17" i="8"/>
  <c r="E17" i="8"/>
  <c r="D17" i="8"/>
  <c r="C17" i="8"/>
  <c r="B17" i="8"/>
  <c r="I16" i="8"/>
  <c r="H16" i="8"/>
  <c r="G16" i="8"/>
  <c r="F16" i="8"/>
  <c r="E16" i="8"/>
  <c r="D16" i="8"/>
  <c r="C16" i="8"/>
  <c r="B16" i="8"/>
  <c r="D8" i="8" l="1"/>
  <c r="D6" i="8"/>
  <c r="D7" i="8"/>
  <c r="G6" i="8"/>
  <c r="I6" i="8"/>
  <c r="E7" i="8"/>
  <c r="F8" i="8"/>
  <c r="F7" i="8"/>
  <c r="E8" i="8"/>
  <c r="G8" i="8"/>
  <c r="G7" i="8"/>
  <c r="H6" i="8"/>
  <c r="I7" i="8"/>
  <c r="E6" i="8"/>
  <c r="F6" i="8"/>
  <c r="H8" i="8"/>
  <c r="H7" i="8"/>
  <c r="B6" i="8"/>
  <c r="B7" i="8"/>
  <c r="B8" i="8"/>
  <c r="C7" i="8"/>
  <c r="C6" i="8"/>
  <c r="C8" i="8"/>
  <c r="O13" i="4" l="1"/>
  <c r="O12" i="4"/>
  <c r="O11" i="4"/>
  <c r="O10" i="4"/>
  <c r="O9" i="4"/>
  <c r="O8" i="4"/>
  <c r="O7" i="4"/>
  <c r="O6" i="4"/>
  <c r="E111" i="2"/>
  <c r="B111" i="2"/>
  <c r="E110" i="2"/>
  <c r="B110" i="2"/>
  <c r="E109" i="2"/>
  <c r="B109" i="2"/>
  <c r="E108" i="2"/>
  <c r="B108" i="2"/>
  <c r="E107" i="2"/>
  <c r="B107" i="2"/>
  <c r="E106" i="2"/>
  <c r="B106" i="2"/>
  <c r="E105" i="2"/>
  <c r="B105" i="2"/>
  <c r="E104" i="2"/>
  <c r="B104" i="2"/>
  <c r="E103" i="2"/>
  <c r="B103" i="2"/>
  <c r="E102" i="2"/>
  <c r="B102" i="2"/>
  <c r="E101" i="2"/>
  <c r="B101" i="2"/>
  <c r="E100" i="2"/>
  <c r="B100" i="2"/>
  <c r="E99" i="2"/>
  <c r="B99" i="2"/>
  <c r="E98" i="2"/>
  <c r="B98" i="2"/>
  <c r="E97" i="2"/>
  <c r="B97" i="2"/>
  <c r="E96" i="2"/>
  <c r="B96" i="2"/>
  <c r="E95" i="2"/>
  <c r="B95" i="2"/>
  <c r="E94" i="2"/>
  <c r="B94" i="2"/>
  <c r="E93" i="2"/>
  <c r="B93" i="2"/>
  <c r="E92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E50" i="2"/>
  <c r="B50" i="2"/>
  <c r="E49" i="2"/>
  <c r="B49" i="2"/>
  <c r="E48" i="2"/>
  <c r="B48" i="2"/>
  <c r="E47" i="2"/>
  <c r="B47" i="2"/>
  <c r="E46" i="2"/>
  <c r="B46" i="2"/>
  <c r="E45" i="2"/>
  <c r="B45" i="2"/>
  <c r="E44" i="2"/>
  <c r="B44" i="2"/>
  <c r="E43" i="2"/>
  <c r="B43" i="2"/>
  <c r="E42" i="2"/>
  <c r="B42" i="2"/>
  <c r="E41" i="2"/>
  <c r="B41" i="2"/>
  <c r="E40" i="2"/>
  <c r="B40" i="2"/>
  <c r="E39" i="2"/>
  <c r="B39" i="2"/>
  <c r="E38" i="2"/>
  <c r="B38" i="2"/>
  <c r="E37" i="2"/>
  <c r="B37" i="2"/>
  <c r="E36" i="2"/>
  <c r="B36" i="2"/>
  <c r="E35" i="2"/>
  <c r="B35" i="2"/>
  <c r="E34" i="2"/>
  <c r="B34" i="2"/>
  <c r="E33" i="2"/>
  <c r="B33" i="2"/>
  <c r="E32" i="2"/>
  <c r="B32" i="2"/>
  <c r="E31" i="2"/>
  <c r="B31" i="2"/>
  <c r="E30" i="2"/>
  <c r="B30" i="2"/>
  <c r="E29" i="2"/>
  <c r="B29" i="2"/>
  <c r="E28" i="2"/>
  <c r="B28" i="2"/>
  <c r="E27" i="2"/>
  <c r="B27" i="2"/>
  <c r="E26" i="2"/>
  <c r="B26" i="2"/>
  <c r="E25" i="2"/>
  <c r="B25" i="2"/>
  <c r="E24" i="2"/>
  <c r="B24" i="2"/>
  <c r="E23" i="2"/>
  <c r="B23" i="2"/>
  <c r="E22" i="2"/>
  <c r="B22" i="2"/>
  <c r="E21" i="2"/>
  <c r="B21" i="2"/>
  <c r="E20" i="2"/>
  <c r="B20" i="2"/>
  <c r="E19" i="2"/>
  <c r="B19" i="2"/>
  <c r="E18" i="2"/>
  <c r="B18" i="2"/>
  <c r="E17" i="2"/>
  <c r="B17" i="2"/>
  <c r="E16" i="2"/>
  <c r="B16" i="2"/>
  <c r="E15" i="2"/>
  <c r="B15" i="2"/>
  <c r="E14" i="2"/>
  <c r="B14" i="2"/>
  <c r="E13" i="2"/>
  <c r="B13" i="2"/>
  <c r="E12" i="2"/>
  <c r="B12" i="2"/>
  <c r="E11" i="2"/>
  <c r="B11" i="2"/>
  <c r="E10" i="2"/>
  <c r="B10" i="2"/>
  <c r="E9" i="2"/>
  <c r="B9" i="2"/>
  <c r="E8" i="2"/>
  <c r="B8" i="2"/>
  <c r="E7" i="2"/>
  <c r="B7" i="2"/>
  <c r="E6" i="2"/>
  <c r="B6" i="2"/>
  <c r="E5" i="2"/>
  <c r="B5" i="2"/>
  <c r="B4" i="2"/>
</calcChain>
</file>

<file path=xl/sharedStrings.xml><?xml version="1.0" encoding="utf-8"?>
<sst xmlns="http://schemas.openxmlformats.org/spreadsheetml/2006/main" count="580" uniqueCount="240">
  <si>
    <t>Percentage change in the GDP, quarter on quarter (not annualised)</t>
  </si>
  <si>
    <t>Actual quarterly change</t>
  </si>
  <si>
    <t>Constant 2010 rand, seasonally adjusted and annualised</t>
  </si>
  <si>
    <t>Annualised quarterly change</t>
  </si>
  <si>
    <t xml:space="preserve">Source: Statistics South Africa GDP quarterly figures. Excel spreadsheet downloaded from www.statssa.gov.za </t>
  </si>
  <si>
    <t>Source: Statistics South Africa. GDP quarterly figures. Excel spreadsheet downloaded www.statssa.gov.za</t>
  </si>
  <si>
    <t>Personal 
services</t>
  </si>
  <si>
    <t>Government  
services</t>
  </si>
  <si>
    <t>Business 
services</t>
  </si>
  <si>
    <t>Transport &amp; 
telecomms</t>
  </si>
  <si>
    <t>Trade</t>
  </si>
  <si>
    <t>Construction 
and utilities</t>
  </si>
  <si>
    <t>Manufac-
turing</t>
  </si>
  <si>
    <t>Mining</t>
  </si>
  <si>
    <t>Agriculture</t>
  </si>
  <si>
    <t>Q3 2020</t>
  </si>
  <si>
    <t>Q2 2020</t>
  </si>
  <si>
    <t>Q1 2020</t>
  </si>
  <si>
    <t>Seasonally adjusted figures, not annualised</t>
  </si>
  <si>
    <t>Constant 2010 Prices</t>
  </si>
  <si>
    <t>Change in Gross Domestic Product by sector</t>
  </si>
  <si>
    <t>Q4 2020</t>
  </si>
  <si>
    <t>Annual for 2020</t>
  </si>
  <si>
    <t>volume</t>
  </si>
  <si>
    <t>value</t>
  </si>
  <si>
    <t>PGMs</t>
  </si>
  <si>
    <t>Iron ore</t>
  </si>
  <si>
    <t>Gold</t>
  </si>
  <si>
    <t>Coal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</si>
  <si>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</si>
  <si>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</si>
  <si>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</si>
  <si>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</si>
  <si>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</si>
  <si>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</si>
  <si>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</si>
  <si>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</si>
  <si>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</si>
  <si>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</si>
  <si>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</si>
  <si>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</si>
  <si>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constant unit price index (January = 100)</t>
  </si>
  <si>
    <t>iron ore</t>
  </si>
  <si>
    <t>coal</t>
  </si>
  <si>
    <t>gold</t>
  </si>
  <si>
    <t>platinum</t>
  </si>
  <si>
    <t>CPI</t>
  </si>
  <si>
    <t>Jan 2020</t>
  </si>
  <si>
    <t>Jan 2021</t>
  </si>
  <si>
    <t>average, 2020</t>
  </si>
  <si>
    <t>average, 2019</t>
  </si>
  <si>
    <t>total</t>
  </si>
  <si>
    <t>domestic</t>
  </si>
  <si>
    <t>exports</t>
  </si>
  <si>
    <t>Expenditure on GDP</t>
  </si>
  <si>
    <t>Constant 2010 prices, seasonally adjusted, annualised</t>
  </si>
  <si>
    <t>Reflated using implicit deflator rebased to Q3 2020</t>
  </si>
  <si>
    <t>Q4 2019</t>
  </si>
  <si>
    <t>households</t>
  </si>
  <si>
    <t>general government</t>
  </si>
  <si>
    <t>investment</t>
  </si>
  <si>
    <t>imports</t>
  </si>
  <si>
    <t>GDP</t>
  </si>
  <si>
    <t>deflator</t>
  </si>
  <si>
    <t>rebased</t>
  </si>
  <si>
    <t>Investment by type of investor</t>
  </si>
  <si>
    <t>constant 2020 R bns</t>
  </si>
  <si>
    <t>Q4 2018</t>
  </si>
  <si>
    <t>Q1 2019</t>
  </si>
  <si>
    <t>Q2 2019</t>
  </si>
  <si>
    <t>Q3 2019</t>
  </si>
  <si>
    <t>General government</t>
  </si>
  <si>
    <t>SOC</t>
  </si>
  <si>
    <t>Private business enterprises</t>
  </si>
  <si>
    <t>Public corporations</t>
  </si>
  <si>
    <t>constant 2010 rand, seasonally adjusted, annualised</t>
  </si>
  <si>
    <t>Total</t>
  </si>
  <si>
    <t>current rand, seas adj, annualised</t>
  </si>
  <si>
    <t>Total manufacturing</t>
  </si>
  <si>
    <t>Furniture</t>
  </si>
  <si>
    <t>11a</t>
  </si>
  <si>
    <t>ICT</t>
  </si>
  <si>
    <t xml:space="preserve">publishing </t>
  </si>
  <si>
    <t>4b</t>
  </si>
  <si>
    <t>electrical 
machinery</t>
  </si>
  <si>
    <t>Other manu-
facturing</t>
  </si>
  <si>
    <t>11b</t>
  </si>
  <si>
    <t>Clothing/textiles/
leather/footwear</t>
  </si>
  <si>
    <t>Glass/non-
metallic mineral</t>
  </si>
  <si>
    <t>petroleum 
refineries</t>
  </si>
  <si>
    <t>5a</t>
  </si>
  <si>
    <t>machinery</t>
  </si>
  <si>
    <t>7b</t>
  </si>
  <si>
    <t>wood and paper</t>
  </si>
  <si>
    <t>4a</t>
  </si>
  <si>
    <t>transport 
equipment</t>
  </si>
  <si>
    <t>chemicals/
plastics</t>
  </si>
  <si>
    <t>5b</t>
  </si>
  <si>
    <t>metals</t>
  </si>
  <si>
    <t>7a</t>
  </si>
  <si>
    <t>food/
beverages</t>
  </si>
  <si>
    <t>December as % of March (right axis)</t>
  </si>
  <si>
    <t>deflated with CPI, rebased to June 2020</t>
  </si>
  <si>
    <t>Employment in the fourth quarter</t>
  </si>
  <si>
    <t>Q4 2019 to Q4 2020</t>
  </si>
  <si>
    <t>Manufacturing</t>
  </si>
  <si>
    <t>Utilities</t>
  </si>
  <si>
    <t>Construction</t>
  </si>
  <si>
    <t>Other (right axis)</t>
  </si>
  <si>
    <t>Other</t>
  </si>
  <si>
    <t>Transport</t>
  </si>
  <si>
    <t>Business services</t>
  </si>
  <si>
    <t>Community and social services</t>
  </si>
  <si>
    <t>Private households</t>
  </si>
  <si>
    <t>total ex mining and ag</t>
  </si>
  <si>
    <t>total real</t>
  </si>
  <si>
    <t>StatsSA. QLFS trends. Downloaded from www.statssa.gov.za in February 2020</t>
  </si>
  <si>
    <t>Total ex manufacturing</t>
  </si>
  <si>
    <t>Base</t>
  </si>
  <si>
    <t>Oct-Dec 2020</t>
  </si>
  <si>
    <t>Jul-Sep 2020</t>
  </si>
  <si>
    <t>Apr-Jun 2020</t>
  </si>
  <si>
    <t>Jan-Mar 2020</t>
  </si>
  <si>
    <t>Oct-Dec 2019</t>
  </si>
  <si>
    <t>Jul-Sep 2019</t>
  </si>
  <si>
    <t>Apr-Jun 2019</t>
  </si>
  <si>
    <t>Jan-Mar 2019</t>
  </si>
  <si>
    <t>Oct-Dec 2018</t>
  </si>
  <si>
    <t>Jul-Sep 2018</t>
  </si>
  <si>
    <t>Apr-June 2018</t>
  </si>
  <si>
    <t>Jan-Mar 2018</t>
  </si>
  <si>
    <t>Oct-Dec 2016</t>
  </si>
  <si>
    <t>Jul-Sep 2015</t>
  </si>
  <si>
    <t>Apr-Jun 2016</t>
  </si>
  <si>
    <t>Jan-Mar 2016</t>
  </si>
  <si>
    <t>Oct-Dec 2015</t>
  </si>
  <si>
    <t>Apr-Jun 2015</t>
  </si>
  <si>
    <t>Jan-Mar 2015</t>
  </si>
  <si>
    <t>Oct-Dec 2014</t>
  </si>
  <si>
    <t>Jul-Sep 2014</t>
  </si>
  <si>
    <t>Apr-Jun 2014</t>
  </si>
  <si>
    <t>Jan-Mar 2014</t>
  </si>
  <si>
    <t>Oct-Dec 2013</t>
  </si>
  <si>
    <t>Jul-Sep 2013</t>
  </si>
  <si>
    <t>Apr-Jun 2013</t>
  </si>
  <si>
    <t>Jan-Mar 2013</t>
  </si>
  <si>
    <t>Oct-Dec 2012</t>
  </si>
  <si>
    <t>Jul-Sep 2012</t>
  </si>
  <si>
    <t>Apr-Jun 2012</t>
  </si>
  <si>
    <t>Jan-Mar 2012</t>
  </si>
  <si>
    <t>Oct-Dec 2011</t>
  </si>
  <si>
    <t>Jul-Sep 2011</t>
  </si>
  <si>
    <t>Apr-Jun 2011</t>
  </si>
  <si>
    <t>Jan-Mar 2011</t>
  </si>
  <si>
    <t>Oct-Dec 2010</t>
  </si>
  <si>
    <t>Jul-Sep 2010</t>
  </si>
  <si>
    <t>Apr-Jun 2010</t>
  </si>
  <si>
    <t>Jan-Mar 2010</t>
  </si>
  <si>
    <t>Oct-Dec 2009</t>
  </si>
  <si>
    <t>Jul-Sep 2009</t>
  </si>
  <si>
    <t>Apr-Jun 2009</t>
  </si>
  <si>
    <t>Jan-Mar 2009</t>
  </si>
  <si>
    <t>Oct-Dec 2008</t>
  </si>
  <si>
    <t>Jul-Sep 2008</t>
  </si>
  <si>
    <t>Apr-Jun 2008</t>
  </si>
  <si>
    <t>Jan-Mar 2008</t>
  </si>
  <si>
    <t>Indices of employment in manufacturing and the rest of the economy</t>
  </si>
  <si>
    <t>Main occupation grouped</t>
  </si>
  <si>
    <t>% change, Q4 2019 to Q4 2020 (right axis)</t>
  </si>
  <si>
    <t>Q1</t>
  </si>
  <si>
    <t>Q2</t>
  </si>
  <si>
    <t>Q3</t>
  </si>
  <si>
    <t>Q4</t>
  </si>
  <si>
    <t>formal</t>
  </si>
  <si>
    <t>managers/profes-
sionals/technicians</t>
  </si>
  <si>
    <t>clerical/service
 workers</t>
  </si>
  <si>
    <t>skilled produc-
tion workers</t>
  </si>
  <si>
    <t>elementary
 workers</t>
  </si>
  <si>
    <t>informal</t>
  </si>
  <si>
    <t>Furniture, 
and other</t>
  </si>
  <si>
    <t>Transport 
equipment</t>
  </si>
  <si>
    <t>Machinery, equipment
 and appliances</t>
  </si>
  <si>
    <t>Metals and 
metal products</t>
  </si>
  <si>
    <t>Glass and non-
metallic minerals</t>
  </si>
  <si>
    <t>Petroleum, chemicals, 
rubber, and plastic</t>
  </si>
  <si>
    <t>Publishing 
and printing</t>
  </si>
  <si>
    <t>Wood and paper</t>
  </si>
  <si>
    <t>Clothing, textiles 
and footwear</t>
  </si>
  <si>
    <t>Food, beverages, 
and tobacco</t>
  </si>
  <si>
    <t>Mining employment</t>
  </si>
  <si>
    <t>Employed</t>
  </si>
  <si>
    <t xml:space="preserve">StatsSA. Quarterly Employment Statistics. </t>
  </si>
  <si>
    <t>Source: SARS monthly data</t>
  </si>
  <si>
    <t>Balance</t>
  </si>
  <si>
    <t>Imports</t>
  </si>
  <si>
    <t>Exports</t>
  </si>
  <si>
    <t>Rands/dollar</t>
  </si>
  <si>
    <t>Billions of current U.S. dollars</t>
  </si>
  <si>
    <t>Billions of constant rand - deflated with CPI</t>
  </si>
  <si>
    <t>Nominal rand</t>
  </si>
  <si>
    <t>Balance of trade</t>
  </si>
  <si>
    <t xml:space="preserve"> </t>
  </si>
  <si>
    <t>Extractives (mostly petrol)</t>
  </si>
  <si>
    <t>Reflated with CPI rebased to 2020</t>
  </si>
  <si>
    <t>Exports and imports by sector in billions of constant (2020) rand</t>
  </si>
  <si>
    <t>Machinery and appliances</t>
  </si>
  <si>
    <t>Metal products</t>
  </si>
  <si>
    <t>Glass and non-metallic mineral products</t>
  </si>
  <si>
    <t>Chemicals, rubber, plastic</t>
  </si>
  <si>
    <t>Paper and 
publishing</t>
  </si>
  <si>
    <t>Wood and wood products</t>
  </si>
  <si>
    <t>Clothing and 
textiles</t>
  </si>
  <si>
    <t>Food, beverages, tobacco</t>
  </si>
  <si>
    <t>% recovery from Q2</t>
  </si>
  <si>
    <t>Fourth quarter</t>
  </si>
  <si>
    <t>Third quarter</t>
  </si>
  <si>
    <t>Second quarter</t>
  </si>
  <si>
    <t>First quarter</t>
  </si>
  <si>
    <t xml:space="preserve">Manufacturing Trade </t>
  </si>
  <si>
    <t>Source: StatsSA, Quarterly Financial Statistics</t>
  </si>
  <si>
    <t>other</t>
  </si>
  <si>
    <t>construction</t>
  </si>
  <si>
    <t>manufacturing</t>
  </si>
  <si>
    <t>mining</t>
  </si>
  <si>
    <t>Carrying value of fixed assets as at the end of quarter</t>
  </si>
  <si>
    <t>Net profit or loss before taxation</t>
  </si>
  <si>
    <t>Year to third quarter</t>
  </si>
  <si>
    <t>Return on Assets</t>
  </si>
  <si>
    <t xml:space="preserve">Net profit or loss before taxation </t>
  </si>
  <si>
    <t>constant R bns</t>
  </si>
  <si>
    <t>Monthly sales by manufacturing industry, seasonally adjusted, in constant rand</t>
  </si>
  <si>
    <t>Mining production and sales</t>
  </si>
  <si>
    <t>Production volume: January = 100, seasonally adjusted;</t>
  </si>
  <si>
    <t>sales in constant R100 millions, not seasonally adjusted (reflated to December 2020 using CPI)</t>
  </si>
  <si>
    <t>Mining unit export prices</t>
  </si>
  <si>
    <t>Calculated from Quantec EasyData. Accessed at www.quantec.co.za in March 2021</t>
  </si>
  <si>
    <t>January 2020 = 100</t>
  </si>
  <si>
    <t>Constant rand (deflated with CPI)</t>
  </si>
  <si>
    <t>Auto export and domestic sales</t>
  </si>
  <si>
    <t>Employment by manufacturing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</si>
</sst>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 * #,##0_ ;_ * \-#,##0_ ;_ * &quot;-&quot;??_ ;_ @_ "/>
    <numFmt numFmtId="167" formatCode="0.0%"/>
    <numFmt numFmtId="168" formatCode="[$-409]mmm\-yy;@"/>
    <numFmt numFmtId="169" formatCode="_-* #,##0.0_-;\-* #,##0.0_-;_-* &quot;-&quot;??_-;_-@_-"/>
    <numFmt numFmtId="170" formatCode="#,##0.00000"/>
    <numFmt numFmtId="171" formatCode="#,##0.0"/>
    <numFmt numFmtId="172" formatCode="_ * #,##0.00_ ;_ * \-#,##0.00_ ;_ * &quot;-&quot;??_ ;_ @_ "/>
    <numFmt numFmtId="173" formatCode="_ * #,##0.0_ ;_ * \-#,##0.0_ ;_ * &quot;-&quot;??_ ;_ @_ "/>
    <numFmt numFmtId="17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u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9" fillId="0" borderId="0"/>
    <xf numFmtId="17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/>
    <xf numFmtId="166" fontId="4" fillId="0" borderId="0" xfId="3" applyNumberFormat="1" applyFont="1"/>
    <xf numFmtId="164" fontId="0" fillId="0" borderId="0" xfId="1" applyNumberFormat="1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justify"/>
    </xf>
    <xf numFmtId="0" fontId="4" fillId="0" borderId="0" xfId="0" applyFont="1"/>
    <xf numFmtId="167" fontId="6" fillId="0" borderId="0" xfId="2" applyNumberFormat="1" applyFont="1"/>
    <xf numFmtId="167" fontId="0" fillId="0" borderId="0" xfId="2" applyNumberFormat="1" applyFont="1"/>
    <xf numFmtId="167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0" fontId="0" fillId="0" borderId="0" xfId="0" applyAlignment="1">
      <alignment horizontal="fill"/>
    </xf>
    <xf numFmtId="3" fontId="7" fillId="0" borderId="0" xfId="0" applyNumberFormat="1" applyFont="1" applyAlignment="1">
      <alignment vertical="center"/>
    </xf>
    <xf numFmtId="0" fontId="5" fillId="0" borderId="0" xfId="0" applyFont="1"/>
    <xf numFmtId="167" fontId="0" fillId="0" borderId="0" xfId="2" applyNumberFormat="1" applyFont="1" applyAlignment="1">
      <alignment wrapText="1"/>
    </xf>
    <xf numFmtId="0" fontId="0" fillId="0" borderId="0" xfId="0" applyAlignment="1">
      <alignment wrapText="1"/>
    </xf>
    <xf numFmtId="168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9" fontId="0" fillId="0" borderId="0" xfId="2" applyFont="1"/>
    <xf numFmtId="9" fontId="7" fillId="0" borderId="0" xfId="2" applyFont="1" applyAlignment="1">
      <alignment vertical="center"/>
    </xf>
    <xf numFmtId="164" fontId="0" fillId="0" borderId="0" xfId="1" quotePrefix="1" applyNumberFormat="1" applyFont="1"/>
    <xf numFmtId="169" fontId="0" fillId="0" borderId="0" xfId="1" applyNumberFormat="1" applyFo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vertical="center"/>
    </xf>
    <xf numFmtId="169" fontId="0" fillId="0" borderId="0" xfId="1" applyNumberFormat="1" applyFont="1" applyAlignment="1">
      <alignment wrapText="1"/>
    </xf>
    <xf numFmtId="9" fontId="8" fillId="0" borderId="0" xfId="2" applyFont="1" applyAlignment="1">
      <alignment vertical="center"/>
    </xf>
    <xf numFmtId="170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171" fontId="8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171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0" fillId="0" borderId="0" xfId="0" applyNumberFormat="1"/>
    <xf numFmtId="0" fontId="15" fillId="0" borderId="0" xfId="0" applyFont="1" applyAlignment="1">
      <alignment vertical="center"/>
    </xf>
    <xf numFmtId="9" fontId="0" fillId="0" borderId="0" xfId="2" applyFont="1" applyFill="1"/>
    <xf numFmtId="166" fontId="0" fillId="0" borderId="0" xfId="1" applyNumberFormat="1" applyFont="1" applyFill="1"/>
    <xf numFmtId="164" fontId="0" fillId="0" borderId="0" xfId="1" applyNumberFormat="1" applyFont="1" applyFill="1"/>
    <xf numFmtId="17" fontId="0" fillId="0" borderId="0" xfId="0" applyNumberFormat="1"/>
    <xf numFmtId="166" fontId="5" fillId="0" borderId="0" xfId="4" applyNumberFormat="1" applyFont="1"/>
    <xf numFmtId="166" fontId="0" fillId="0" borderId="0" xfId="4" applyNumberFormat="1" applyFont="1"/>
    <xf numFmtId="166" fontId="14" fillId="0" borderId="0" xfId="4" applyNumberFormat="1" applyFont="1"/>
    <xf numFmtId="0" fontId="14" fillId="0" borderId="0" xfId="4" applyNumberFormat="1" applyFont="1"/>
    <xf numFmtId="0" fontId="16" fillId="0" borderId="0" xfId="4" applyNumberFormat="1" applyFont="1" applyAlignment="1">
      <alignment horizontal="left" indent="1"/>
    </xf>
    <xf numFmtId="1" fontId="14" fillId="0" borderId="0" xfId="4" applyNumberFormat="1" applyFont="1"/>
    <xf numFmtId="0" fontId="14" fillId="0" borderId="0" xfId="0" applyFont="1"/>
    <xf numFmtId="1" fontId="0" fillId="0" borderId="0" xfId="4" applyNumberFormat="1" applyFont="1"/>
    <xf numFmtId="173" fontId="0" fillId="0" borderId="0" xfId="4" applyNumberFormat="1" applyFont="1"/>
    <xf numFmtId="43" fontId="0" fillId="0" borderId="0" xfId="4" applyNumberFormat="1" applyFont="1"/>
    <xf numFmtId="9" fontId="0" fillId="0" borderId="0" xfId="4" applyNumberFormat="1" applyFont="1"/>
    <xf numFmtId="164" fontId="0" fillId="0" borderId="0" xfId="4" applyNumberFormat="1" applyFont="1"/>
    <xf numFmtId="164" fontId="5" fillId="0" borderId="0" xfId="4" applyNumberFormat="1" applyFont="1"/>
    <xf numFmtId="3" fontId="7" fillId="0" borderId="1" xfId="0" applyNumberFormat="1" applyFont="1" applyBorder="1" applyAlignment="1">
      <alignment horizontal="right" vertical="center"/>
    </xf>
    <xf numFmtId="164" fontId="5" fillId="0" borderId="0" xfId="4" applyNumberFormat="1" applyFont="1" applyFill="1"/>
    <xf numFmtId="164" fontId="14" fillId="0" borderId="0" xfId="1" applyNumberFormat="1" applyFont="1"/>
    <xf numFmtId="166" fontId="17" fillId="0" borderId="0" xfId="4" applyNumberFormat="1" applyFont="1"/>
    <xf numFmtId="164" fontId="0" fillId="0" borderId="0" xfId="5" applyNumberFormat="1" applyFont="1" applyFill="1"/>
    <xf numFmtId="166" fontId="5" fillId="0" borderId="0" xfId="0" applyNumberFormat="1" applyFont="1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3" fontId="5" fillId="0" borderId="0" xfId="0" applyNumberFormat="1" applyFont="1"/>
    <xf numFmtId="9" fontId="0" fillId="0" borderId="0" xfId="2" applyNumberFormat="1" applyFont="1"/>
    <xf numFmtId="9" fontId="5" fillId="0" borderId="0" xfId="2" applyFont="1"/>
    <xf numFmtId="0" fontId="0" fillId="0" borderId="0" xfId="4" applyNumberFormat="1" applyFont="1"/>
    <xf numFmtId="164" fontId="0" fillId="0" borderId="0" xfId="1" applyNumberFormat="1" applyFont="1" applyAlignment="1">
      <alignment wrapText="1"/>
    </xf>
    <xf numFmtId="166" fontId="0" fillId="0" borderId="0" xfId="4" applyNumberFormat="1" applyFont="1" applyFill="1" applyAlignment="1"/>
    <xf numFmtId="1" fontId="5" fillId="0" borderId="0" xfId="0" applyNumberFormat="1" applyFont="1" applyAlignment="1"/>
    <xf numFmtId="0" fontId="0" fillId="0" borderId="0" xfId="0" applyFill="1" applyAlignment="1"/>
    <xf numFmtId="1" fontId="5" fillId="0" borderId="0" xfId="2" applyNumberFormat="1" applyFont="1" applyAlignment="1"/>
    <xf numFmtId="1" fontId="18" fillId="0" borderId="0" xfId="0" applyNumberFormat="1" applyFont="1" applyFill="1" applyBorder="1" applyAlignment="1"/>
    <xf numFmtId="166" fontId="18" fillId="0" borderId="0" xfId="5" applyNumberFormat="1" applyFont="1" applyFill="1" applyBorder="1" applyAlignment="1"/>
    <xf numFmtId="0" fontId="0" fillId="0" borderId="0" xfId="0" applyFill="1" applyAlignment="1">
      <alignment horizontal="left"/>
    </xf>
    <xf numFmtId="1" fontId="5" fillId="0" borderId="0" xfId="0" applyNumberFormat="1" applyFont="1" applyFill="1" applyAlignment="1"/>
    <xf numFmtId="0" fontId="17" fillId="0" borderId="0" xfId="6" applyNumberFormat="1"/>
    <xf numFmtId="166" fontId="0" fillId="0" borderId="0" xfId="4" applyNumberFormat="1" applyFont="1" applyFill="1"/>
    <xf numFmtId="0" fontId="18" fillId="0" borderId="0" xfId="7" applyNumberFormat="1" applyFont="1" applyFill="1" applyBorder="1"/>
    <xf numFmtId="173" fontId="18" fillId="0" borderId="0" xfId="7" applyNumberFormat="1" applyFont="1" applyFill="1" applyBorder="1"/>
    <xf numFmtId="166" fontId="18" fillId="0" borderId="0" xfId="8" applyNumberFormat="1" applyFont="1" applyFill="1" applyBorder="1"/>
    <xf numFmtId="0" fontId="18" fillId="0" borderId="0" xfId="7" applyFont="1" applyFill="1" applyBorder="1"/>
    <xf numFmtId="166" fontId="18" fillId="0" borderId="0" xfId="7" applyNumberFormat="1" applyFont="1" applyFill="1" applyBorder="1"/>
    <xf numFmtId="174" fontId="18" fillId="0" borderId="0" xfId="7" applyNumberFormat="1" applyFont="1" applyFill="1" applyBorder="1"/>
    <xf numFmtId="1" fontId="18" fillId="0" borderId="0" xfId="7" applyNumberFormat="1" applyFont="1" applyFill="1" applyBorder="1"/>
    <xf numFmtId="174" fontId="1" fillId="0" borderId="0" xfId="8" applyNumberFormat="1" applyFont="1" applyFill="1"/>
    <xf numFmtId="174" fontId="1" fillId="0" borderId="0" xfId="8" applyNumberFormat="1" applyFont="1" applyFill="1" applyBorder="1"/>
    <xf numFmtId="174" fontId="19" fillId="0" borderId="0" xfId="7" applyNumberFormat="1" applyFont="1" applyFill="1"/>
    <xf numFmtId="174" fontId="19" fillId="0" borderId="0" xfId="7" applyNumberFormat="1" applyFill="1"/>
    <xf numFmtId="174" fontId="0" fillId="0" borderId="0" xfId="8" applyNumberFormat="1" applyFont="1" applyFill="1"/>
    <xf numFmtId="0" fontId="18" fillId="0" borderId="0" xfId="8" applyNumberFormat="1" applyFont="1" applyFill="1" applyBorder="1"/>
    <xf numFmtId="0" fontId="0" fillId="0" borderId="0" xfId="0" applyFont="1"/>
    <xf numFmtId="0" fontId="0" fillId="0" borderId="0" xfId="0" applyFont="1" applyFill="1"/>
    <xf numFmtId="0" fontId="20" fillId="0" borderId="0" xfId="0" applyFont="1" applyFill="1" applyBorder="1"/>
    <xf numFmtId="3" fontId="0" fillId="0" borderId="0" xfId="0" applyNumberFormat="1" applyFill="1" applyBorder="1"/>
    <xf numFmtId="166" fontId="0" fillId="0" borderId="0" xfId="4" quotePrefix="1" applyNumberFormat="1" applyFont="1" applyFill="1"/>
    <xf numFmtId="166" fontId="5" fillId="0" borderId="0" xfId="4" quotePrefix="1" applyNumberFormat="1" applyFont="1"/>
    <xf numFmtId="0" fontId="0" fillId="0" borderId="0" xfId="0" applyFill="1" applyBorder="1"/>
    <xf numFmtId="0" fontId="5" fillId="0" borderId="0" xfId="4" applyNumberFormat="1" applyFont="1"/>
    <xf numFmtId="167" fontId="0" fillId="0" borderId="0" xfId="2" applyNumberFormat="1" applyFont="1" applyFill="1"/>
    <xf numFmtId="0" fontId="0" fillId="0" borderId="0" xfId="4" applyNumberFormat="1" applyFont="1" applyFill="1"/>
    <xf numFmtId="164" fontId="0" fillId="0" borderId="0" xfId="9" applyNumberFormat="1" applyFont="1"/>
    <xf numFmtId="0" fontId="0" fillId="0" borderId="0" xfId="0" applyFill="1"/>
    <xf numFmtId="166" fontId="1" fillId="0" borderId="0" xfId="4" applyNumberFormat="1" applyFont="1" applyFill="1"/>
    <xf numFmtId="166" fontId="5" fillId="0" borderId="0" xfId="4" applyNumberFormat="1" applyFont="1" applyAlignment="1">
      <alignment horizontal="center" wrapText="1"/>
    </xf>
    <xf numFmtId="166" fontId="16" fillId="0" borderId="0" xfId="4" applyNumberFormat="1" applyFont="1"/>
    <xf numFmtId="164" fontId="0" fillId="0" borderId="0" xfId="1" quotePrefix="1" applyNumberFormat="1" applyFont="1" applyFill="1"/>
    <xf numFmtId="164" fontId="0" fillId="0" borderId="0" xfId="1" applyNumberFormat="1" applyFont="1" applyFill="1" applyBorder="1"/>
    <xf numFmtId="0" fontId="2" fillId="0" borderId="0" xfId="0" applyNumberFormat="1" applyFont="1"/>
    <xf numFmtId="166" fontId="14" fillId="0" borderId="0" xfId="4" quotePrefix="1" applyNumberFormat="1" applyFont="1"/>
    <xf numFmtId="166" fontId="0" fillId="0" borderId="0" xfId="4" quotePrefix="1" applyNumberFormat="1" applyFont="1"/>
    <xf numFmtId="0" fontId="0" fillId="2" borderId="0" xfId="0" applyFill="1"/>
    <xf numFmtId="0" fontId="2" fillId="0" borderId="0" xfId="0" applyFont="1" applyFill="1"/>
    <xf numFmtId="17" fontId="0" fillId="0" borderId="0" xfId="0" applyNumberFormat="1" applyFill="1"/>
    <xf numFmtId="166" fontId="14" fillId="0" borderId="0" xfId="1" applyNumberFormat="1" applyFont="1" applyFill="1" applyAlignment="1">
      <alignment horizontal="right"/>
    </xf>
    <xf numFmtId="166" fontId="0" fillId="0" borderId="0" xfId="1" applyNumberFormat="1" applyFont="1" applyFill="1" applyAlignment="1">
      <alignment wrapText="1"/>
    </xf>
    <xf numFmtId="166" fontId="0" fillId="0" borderId="0" xfId="1" applyNumberFormat="1" applyFont="1" applyFill="1" applyAlignment="1">
      <alignment horizontal="left" indent="1"/>
    </xf>
    <xf numFmtId="166" fontId="0" fillId="0" borderId="0" xfId="0" applyNumberFormat="1" applyFill="1" applyAlignment="1">
      <alignment wrapText="1"/>
    </xf>
    <xf numFmtId="166" fontId="0" fillId="0" borderId="0" xfId="0" applyNumberFormat="1" applyFont="1" applyFill="1" applyBorder="1" applyAlignment="1">
      <alignment horizontal="left" indent="1"/>
    </xf>
    <xf numFmtId="166" fontId="1" fillId="0" borderId="0" xfId="1" applyNumberFormat="1" applyFont="1" applyFill="1" applyAlignment="1">
      <alignment horizontal="right"/>
    </xf>
  </cellXfs>
  <cellStyles count="11">
    <cellStyle name="Comma" xfId="1" builtinId="3"/>
    <cellStyle name="Comma 10" xfId="9"/>
    <cellStyle name="Comma 2" xfId="3"/>
    <cellStyle name="Comma 2 3" xfId="4"/>
    <cellStyle name="Comma 3 2" xfId="10"/>
    <cellStyle name="Comma 7" xfId="8"/>
    <cellStyle name="Comma 9" xfId="5"/>
    <cellStyle name="Normal" xfId="0" builtinId="0"/>
    <cellStyle name="Normal 8 2" xfId="6"/>
    <cellStyle name="Normal 9" xfId="7"/>
    <cellStyle name="Percent" xfId="2" builtinId="5"/>
  </cellStyles>
  <dxfs count="24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Quarterly change in GDP'!$B$3</c:f>
              <c:strCache>
                <c:ptCount val="1"/>
                <c:pt idx="0">
                  <c:v>Actual quarterly change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'1. Quarterly change in GDP'!$A$4:$A$111</c:f>
              <c:numCache>
                <c:formatCode>General</c:formatCode>
                <c:ptCount val="108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  <c:pt idx="96">
                  <c:v>2018</c:v>
                </c:pt>
                <c:pt idx="100">
                  <c:v>2019</c:v>
                </c:pt>
                <c:pt idx="104">
                  <c:v>2020</c:v>
                </c:pt>
              </c:numCache>
            </c:numRef>
          </c:cat>
          <c:val>
            <c:numRef>
              <c:f>'1. Quarterly change in GDP'!$B$4:$B$111</c:f>
              <c:numCache>
                <c:formatCode>0.0%</c:formatCode>
                <c:ptCount val="108"/>
                <c:pt idx="0">
                  <c:v>-5.0037543810244056E-4</c:v>
                </c:pt>
                <c:pt idx="1">
                  <c:v>9.7565843331155477E-3</c:v>
                </c:pt>
                <c:pt idx="2">
                  <c:v>1.1245145875966589E-2</c:v>
                </c:pt>
                <c:pt idx="3">
                  <c:v>1.8582983840178091E-2</c:v>
                </c:pt>
                <c:pt idx="4">
                  <c:v>2.4994739461348114E-3</c:v>
                </c:pt>
                <c:pt idx="5">
                  <c:v>2.8748138294714121E-3</c:v>
                </c:pt>
                <c:pt idx="6">
                  <c:v>6.6346528809462235E-3</c:v>
                </c:pt>
                <c:pt idx="7">
                  <c:v>3.3636360976436741E-3</c:v>
                </c:pt>
                <c:pt idx="8">
                  <c:v>1.852499660273188E-2</c:v>
                </c:pt>
                <c:pt idx="9">
                  <c:v>1.1913584255213827E-2</c:v>
                </c:pt>
                <c:pt idx="10">
                  <c:v>1.1914846565305171E-2</c:v>
                </c:pt>
                <c:pt idx="11">
                  <c:v>9.3816956640266902E-3</c:v>
                </c:pt>
                <c:pt idx="12">
                  <c:v>4.6421795462883164E-3</c:v>
                </c:pt>
                <c:pt idx="13">
                  <c:v>6.2740936412364334E-3</c:v>
                </c:pt>
                <c:pt idx="14">
                  <c:v>9.9426185469431161E-4</c:v>
                </c:pt>
                <c:pt idx="15">
                  <c:v>1.3812660576273394E-4</c:v>
                </c:pt>
                <c:pt idx="16">
                  <c:v>2.6270537268398009E-3</c:v>
                </c:pt>
                <c:pt idx="17">
                  <c:v>1.414254334074716E-3</c:v>
                </c:pt>
                <c:pt idx="18">
                  <c:v>-2.1903504855179667E-3</c:v>
                </c:pt>
                <c:pt idx="19">
                  <c:v>9.6284064544760462E-4</c:v>
                </c:pt>
                <c:pt idx="20">
                  <c:v>9.6107385070816065E-3</c:v>
                </c:pt>
                <c:pt idx="21">
                  <c:v>7.9588957093028601E-3</c:v>
                </c:pt>
                <c:pt idx="22">
                  <c:v>1.0918957840878374E-2</c:v>
                </c:pt>
                <c:pt idx="23">
                  <c:v>1.0999838166667164E-2</c:v>
                </c:pt>
                <c:pt idx="24">
                  <c:v>1.1688393411539488E-2</c:v>
                </c:pt>
                <c:pt idx="25">
                  <c:v>9.1998741684722329E-3</c:v>
                </c:pt>
                <c:pt idx="26">
                  <c:v>9.9039730316425878E-3</c:v>
                </c:pt>
                <c:pt idx="27">
                  <c:v>8.5095722253147876E-3</c:v>
                </c:pt>
                <c:pt idx="28">
                  <c:v>6.1451218382775341E-3</c:v>
                </c:pt>
                <c:pt idx="29">
                  <c:v>4.9970096094293925E-3</c:v>
                </c:pt>
                <c:pt idx="30">
                  <c:v>2.6574806735824019E-3</c:v>
                </c:pt>
                <c:pt idx="31">
                  <c:v>7.6932022008342482E-3</c:v>
                </c:pt>
                <c:pt idx="32">
                  <c:v>1.0859990214854287E-2</c:v>
                </c:pt>
                <c:pt idx="33">
                  <c:v>1.2688607200023627E-2</c:v>
                </c:pt>
                <c:pt idx="34">
                  <c:v>1.1318278134637705E-2</c:v>
                </c:pt>
                <c:pt idx="35">
                  <c:v>8.3199121704340406E-3</c:v>
                </c:pt>
                <c:pt idx="36">
                  <c:v>6.3476891543696734E-3</c:v>
                </c:pt>
                <c:pt idx="37">
                  <c:v>4.8837440379221331E-3</c:v>
                </c:pt>
                <c:pt idx="38">
                  <c:v>5.4268969571396042E-3</c:v>
                </c:pt>
                <c:pt idx="39">
                  <c:v>5.7693477545617267E-3</c:v>
                </c:pt>
                <c:pt idx="40">
                  <c:v>1.5137792758620927E-2</c:v>
                </c:pt>
                <c:pt idx="41">
                  <c:v>1.3974480614202811E-2</c:v>
                </c:pt>
                <c:pt idx="42">
                  <c:v>1.6351156135631983E-2</c:v>
                </c:pt>
                <c:pt idx="43">
                  <c:v>1.0679320086723454E-2</c:v>
                </c:pt>
                <c:pt idx="44">
                  <c:v>1.0166048582257448E-2</c:v>
                </c:pt>
                <c:pt idx="45">
                  <c:v>1.7945531524176106E-2</c:v>
                </c:pt>
                <c:pt idx="46">
                  <c:v>1.3636227821061331E-2</c:v>
                </c:pt>
                <c:pt idx="47">
                  <c:v>6.6935546518245292E-3</c:v>
                </c:pt>
                <c:pt idx="48">
                  <c:v>1.7571723602183953E-2</c:v>
                </c:pt>
                <c:pt idx="49">
                  <c:v>1.4202440816502238E-2</c:v>
                </c:pt>
                <c:pt idx="50">
                  <c:v>1.3811494066304553E-2</c:v>
                </c:pt>
                <c:pt idx="51">
                  <c:v>1.3828169460476936E-2</c:v>
                </c:pt>
                <c:pt idx="52">
                  <c:v>1.6236668072191929E-2</c:v>
                </c:pt>
                <c:pt idx="53">
                  <c:v>8.1955633322816634E-3</c:v>
                </c:pt>
                <c:pt idx="54">
                  <c:v>1.1719344438867685E-2</c:v>
                </c:pt>
                <c:pt idx="55">
                  <c:v>1.4170782144657501E-2</c:v>
                </c:pt>
                <c:pt idx="56">
                  <c:v>4.200088433545357E-3</c:v>
                </c:pt>
                <c:pt idx="57">
                  <c:v>1.2208898110870114E-2</c:v>
                </c:pt>
                <c:pt idx="58">
                  <c:v>2.3893574840387899E-3</c:v>
                </c:pt>
                <c:pt idx="59">
                  <c:v>-5.692462107890095E-3</c:v>
                </c:pt>
                <c:pt idx="60">
                  <c:v>-1.5555387027129886E-2</c:v>
                </c:pt>
                <c:pt idx="61">
                  <c:v>-3.4321203407682299E-3</c:v>
                </c:pt>
                <c:pt idx="62">
                  <c:v>2.3190804156123512E-3</c:v>
                </c:pt>
                <c:pt idx="63">
                  <c:v>6.6697508186199794E-3</c:v>
                </c:pt>
                <c:pt idx="64">
                  <c:v>1.138297115276532E-2</c:v>
                </c:pt>
                <c:pt idx="65">
                  <c:v>6.8224369209151092E-3</c:v>
                </c:pt>
                <c:pt idx="66">
                  <c:v>1.1117478992437979E-2</c:v>
                </c:pt>
                <c:pt idx="67">
                  <c:v>1.0697965294457656E-2</c:v>
                </c:pt>
                <c:pt idx="68">
                  <c:v>9.5045655193879419E-3</c:v>
                </c:pt>
                <c:pt idx="69">
                  <c:v>5.7495169786434541E-3</c:v>
                </c:pt>
                <c:pt idx="70">
                  <c:v>2.9824618233837974E-3</c:v>
                </c:pt>
                <c:pt idx="71">
                  <c:v>7.6220534955915298E-3</c:v>
                </c:pt>
                <c:pt idx="72">
                  <c:v>4.0008368109192283E-3</c:v>
                </c:pt>
                <c:pt idx="73">
                  <c:v>8.9770362836656403E-3</c:v>
                </c:pt>
                <c:pt idx="74">
                  <c:v>2.9905428237682052E-3</c:v>
                </c:pt>
                <c:pt idx="75">
                  <c:v>4.3531471054831794E-3</c:v>
                </c:pt>
                <c:pt idx="76">
                  <c:v>4.1413633485312129E-3</c:v>
                </c:pt>
                <c:pt idx="77">
                  <c:v>1.0600076734053276E-2</c:v>
                </c:pt>
                <c:pt idx="78">
                  <c:v>4.5909751263382148E-3</c:v>
                </c:pt>
                <c:pt idx="79">
                  <c:v>1.2879818011360955E-2</c:v>
                </c:pt>
                <c:pt idx="80">
                  <c:v>-3.9009293603420314E-3</c:v>
                </c:pt>
                <c:pt idx="81">
                  <c:v>2.4420422558701915E-3</c:v>
                </c:pt>
                <c:pt idx="82">
                  <c:v>6.3747393735047453E-3</c:v>
                </c:pt>
                <c:pt idx="83">
                  <c:v>1.0860248839266617E-2</c:v>
                </c:pt>
                <c:pt idx="84">
                  <c:v>4.2523942008494409E-3</c:v>
                </c:pt>
                <c:pt idx="85">
                  <c:v>-5.9114274612812601E-3</c:v>
                </c:pt>
                <c:pt idx="86">
                  <c:v>-1.0029534782740601E-4</c:v>
                </c:pt>
                <c:pt idx="87">
                  <c:v>1.0307405333938036E-3</c:v>
                </c:pt>
                <c:pt idx="88">
                  <c:v>-2.4541804192879102E-3</c:v>
                </c:pt>
                <c:pt idx="89">
                  <c:v>7.8887853552405129E-3</c:v>
                </c:pt>
                <c:pt idx="90">
                  <c:v>2.2319116617552925E-3</c:v>
                </c:pt>
                <c:pt idx="91">
                  <c:v>7.416226867711373E-4</c:v>
                </c:pt>
                <c:pt idx="92">
                  <c:v>-6.4313069431998215E-4</c:v>
                </c:pt>
                <c:pt idx="93">
                  <c:v>7.3102510956379874E-3</c:v>
                </c:pt>
                <c:pt idx="94">
                  <c:v>6.9224568003167786E-3</c:v>
                </c:pt>
                <c:pt idx="95">
                  <c:v>8.5036410506786897E-3</c:v>
                </c:pt>
                <c:pt idx="96">
                  <c:v>-6.8310561297731942E-3</c:v>
                </c:pt>
                <c:pt idx="97">
                  <c:v>-1.3119261097106483E-3</c:v>
                </c:pt>
                <c:pt idx="98">
                  <c:v>6.4895733356229446E-3</c:v>
                </c:pt>
                <c:pt idx="99">
                  <c:v>3.40712809053767E-3</c:v>
                </c:pt>
                <c:pt idx="100">
                  <c:v>-8.0396254426896574E-3</c:v>
                </c:pt>
                <c:pt idx="101">
                  <c:v>8.1671072462909944E-3</c:v>
                </c:pt>
                <c:pt idx="102">
                  <c:v>-2.0957912915383625E-3</c:v>
                </c:pt>
                <c:pt idx="103">
                  <c:v>-3.6287930349054864E-3</c:v>
                </c:pt>
                <c:pt idx="104">
                  <c:v>-4.4062974576011271E-3</c:v>
                </c:pt>
                <c:pt idx="105">
                  <c:v>-0.16626354021440526</c:v>
                </c:pt>
                <c:pt idx="106">
                  <c:v>0.13729306470105573</c:v>
                </c:pt>
                <c:pt idx="107">
                  <c:v>1.5272385144424083E-2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B-4668-AF5D-8A4C49DE6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overlap val="5"/>
        <c:axId val="218425984"/>
        <c:axId val="224269056"/>
      </c:barChart>
      <c:catAx>
        <c:axId val="21842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400"/>
            </a:pPr>
            <a:endParaRPr lang="en-US"/>
          </a:p>
        </c:txPr>
        <c:crossAx val="224269056"/>
        <c:crosses val="autoZero"/>
        <c:auto val="1"/>
        <c:lblAlgn val="ctr"/>
        <c:lblOffset val="100"/>
        <c:noMultiLvlLbl val="0"/>
      </c:catAx>
      <c:valAx>
        <c:axId val="224269056"/>
        <c:scaling>
          <c:orientation val="minMax"/>
          <c:max val="0.1500000000000000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8425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500621967567406"/>
          <c:y val="9.1394766300611302E-2"/>
          <c:w val="0.79889632436151381"/>
          <c:h val="0.7481348423153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Employment by sector Q4'!$A$4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lIns="0" anchor="ctr" anchorCtr="1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'8. Employment by sector Q4'!$B$3:$Q$3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  <c:pt idx="13">
                  <c:v>Q2 2020</c:v>
                </c:pt>
                <c:pt idx="14">
                  <c:v>Q3 2020</c:v>
                </c:pt>
                <c:pt idx="15">
                  <c:v>Q4 2020</c:v>
                </c:pt>
              </c:strCache>
            </c:strRef>
          </c:cat>
          <c:val>
            <c:numRef>
              <c:f>'8. Employment by sector Q4'!$B$4:$Q$4</c:f>
              <c:numCache>
                <c:formatCode>_ * #\ ##0_ ;_ * \-#\ ##0_ ;_ * "-"??_ ;_ @_ </c:formatCode>
                <c:ptCount val="16"/>
                <c:pt idx="0">
                  <c:v>810</c:v>
                </c:pt>
                <c:pt idx="1">
                  <c:v>650</c:v>
                </c:pt>
                <c:pt idx="2">
                  <c:v>650</c:v>
                </c:pt>
                <c:pt idx="3">
                  <c:v>670</c:v>
                </c:pt>
                <c:pt idx="4">
                  <c:v>720</c:v>
                </c:pt>
                <c:pt idx="5">
                  <c:v>710</c:v>
                </c:pt>
                <c:pt idx="6">
                  <c:v>740</c:v>
                </c:pt>
                <c:pt idx="7">
                  <c:v>860</c:v>
                </c:pt>
                <c:pt idx="8">
                  <c:v>920</c:v>
                </c:pt>
                <c:pt idx="9">
                  <c:v>850</c:v>
                </c:pt>
                <c:pt idx="10">
                  <c:v>850</c:v>
                </c:pt>
                <c:pt idx="11" formatCode="0">
                  <c:v>890</c:v>
                </c:pt>
                <c:pt idx="12" formatCode="0">
                  <c:v>860</c:v>
                </c:pt>
                <c:pt idx="13" formatCode="0">
                  <c:v>800</c:v>
                </c:pt>
                <c:pt idx="14" formatCode="0">
                  <c:v>810</c:v>
                </c:pt>
                <c:pt idx="15" formatCode="0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0-4FE9-A862-6F70CA4A4A93}"/>
            </c:ext>
          </c:extLst>
        </c:ser>
        <c:ser>
          <c:idx val="1"/>
          <c:order val="1"/>
          <c:tx>
            <c:strRef>
              <c:f>'8. Employment by sector Q4'!$A$5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'8. Employment by sector Q4'!$B$3:$Q$3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  <c:pt idx="13">
                  <c:v>Q2 2020</c:v>
                </c:pt>
                <c:pt idx="14">
                  <c:v>Q3 2020</c:v>
                </c:pt>
                <c:pt idx="15">
                  <c:v>Q4 2020</c:v>
                </c:pt>
              </c:strCache>
            </c:strRef>
          </c:cat>
          <c:val>
            <c:numRef>
              <c:f>'8. Employment by sector Q4'!$B$5:$Q$5</c:f>
              <c:numCache>
                <c:formatCode>_ * #\ ##0_ ;_ * \-#\ ##0_ ;_ * "-"??_ ;_ @_ </c:formatCode>
                <c:ptCount val="16"/>
                <c:pt idx="0">
                  <c:v>2100</c:v>
                </c:pt>
                <c:pt idx="1">
                  <c:v>1890</c:v>
                </c:pt>
                <c:pt idx="2">
                  <c:v>1890</c:v>
                </c:pt>
                <c:pt idx="3">
                  <c:v>1910</c:v>
                </c:pt>
                <c:pt idx="4">
                  <c:v>1810</c:v>
                </c:pt>
                <c:pt idx="5">
                  <c:v>1770</c:v>
                </c:pt>
                <c:pt idx="6">
                  <c:v>1750</c:v>
                </c:pt>
                <c:pt idx="7">
                  <c:v>1740</c:v>
                </c:pt>
                <c:pt idx="8">
                  <c:v>1730</c:v>
                </c:pt>
                <c:pt idx="9">
                  <c:v>1790</c:v>
                </c:pt>
                <c:pt idx="10">
                  <c:v>1770</c:v>
                </c:pt>
                <c:pt idx="11" formatCode="0">
                  <c:v>1720</c:v>
                </c:pt>
                <c:pt idx="12" formatCode="0">
                  <c:v>1710</c:v>
                </c:pt>
                <c:pt idx="13" formatCode="0">
                  <c:v>1460</c:v>
                </c:pt>
                <c:pt idx="14" formatCode="0">
                  <c:v>1460</c:v>
                </c:pt>
                <c:pt idx="15" formatCode="0">
                  <c:v>1490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0-4FE9-A862-6F70CA4A4A93}"/>
            </c:ext>
          </c:extLst>
        </c:ser>
        <c:ser>
          <c:idx val="2"/>
          <c:order val="2"/>
          <c:tx>
            <c:strRef>
              <c:f>'8. Employment by sector Q4'!$A$6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cat>
            <c:strRef>
              <c:f>'8. Employment by sector Q4'!$B$3:$Q$3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  <c:pt idx="13">
                  <c:v>Q2 2020</c:v>
                </c:pt>
                <c:pt idx="14">
                  <c:v>Q3 2020</c:v>
                </c:pt>
                <c:pt idx="15">
                  <c:v>Q4 2020</c:v>
                </c:pt>
              </c:strCache>
            </c:strRef>
          </c:cat>
          <c:val>
            <c:numRef>
              <c:f>'8. Employment by sector Q4'!$B$6:$Q$6</c:f>
              <c:numCache>
                <c:formatCode>_ * #\ ##0_ ;_ * \-#\ ##0_ ;_ * "-"??_ ;_ @_ </c:formatCode>
                <c:ptCount val="16"/>
                <c:pt idx="0">
                  <c:v>90</c:v>
                </c:pt>
                <c:pt idx="1">
                  <c:v>110</c:v>
                </c:pt>
                <c:pt idx="2">
                  <c:v>100</c:v>
                </c:pt>
                <c:pt idx="3">
                  <c:v>90</c:v>
                </c:pt>
                <c:pt idx="4">
                  <c:v>100</c:v>
                </c:pt>
                <c:pt idx="5">
                  <c:v>130</c:v>
                </c:pt>
                <c:pt idx="6">
                  <c:v>100</c:v>
                </c:pt>
                <c:pt idx="7">
                  <c:v>120</c:v>
                </c:pt>
                <c:pt idx="8">
                  <c:v>130</c:v>
                </c:pt>
                <c:pt idx="9">
                  <c:v>150</c:v>
                </c:pt>
                <c:pt idx="10">
                  <c:v>130</c:v>
                </c:pt>
                <c:pt idx="11" formatCode="0">
                  <c:v>120</c:v>
                </c:pt>
                <c:pt idx="12" formatCode="0">
                  <c:v>120</c:v>
                </c:pt>
                <c:pt idx="13" formatCode="0">
                  <c:v>110</c:v>
                </c:pt>
                <c:pt idx="14" formatCode="0">
                  <c:v>90</c:v>
                </c:pt>
                <c:pt idx="15" formatCode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0-4FE9-A862-6F70CA4A4A93}"/>
            </c:ext>
          </c:extLst>
        </c:ser>
        <c:ser>
          <c:idx val="3"/>
          <c:order val="3"/>
          <c:tx>
            <c:strRef>
              <c:f>'8. Employment by sector Q4'!$A$7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'8. Employment by sector Q4'!$B$3:$Q$3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  <c:pt idx="13">
                  <c:v>Q2 2020</c:v>
                </c:pt>
                <c:pt idx="14">
                  <c:v>Q3 2020</c:v>
                </c:pt>
                <c:pt idx="15">
                  <c:v>Q4 2020</c:v>
                </c:pt>
              </c:strCache>
            </c:strRef>
          </c:cat>
          <c:val>
            <c:numRef>
              <c:f>'8. Employment by sector Q4'!$B$7:$Q$7</c:f>
              <c:numCache>
                <c:formatCode>_ * #\ ##0_ ;_ * \-#\ ##0_ ;_ * "-"??_ ;_ @_ </c:formatCode>
                <c:ptCount val="16"/>
                <c:pt idx="0">
                  <c:v>1280</c:v>
                </c:pt>
                <c:pt idx="1">
                  <c:v>1180</c:v>
                </c:pt>
                <c:pt idx="2">
                  <c:v>1110</c:v>
                </c:pt>
                <c:pt idx="3">
                  <c:v>1110</c:v>
                </c:pt>
                <c:pt idx="4">
                  <c:v>1130</c:v>
                </c:pt>
                <c:pt idx="5">
                  <c:v>1200</c:v>
                </c:pt>
                <c:pt idx="6">
                  <c:v>1330</c:v>
                </c:pt>
                <c:pt idx="7">
                  <c:v>1440</c:v>
                </c:pt>
                <c:pt idx="8">
                  <c:v>1480</c:v>
                </c:pt>
                <c:pt idx="9">
                  <c:v>1390</c:v>
                </c:pt>
                <c:pt idx="10">
                  <c:v>1480</c:v>
                </c:pt>
                <c:pt idx="11" formatCode="0">
                  <c:v>1350</c:v>
                </c:pt>
                <c:pt idx="12" formatCode="0">
                  <c:v>1340</c:v>
                </c:pt>
                <c:pt idx="13" formatCode="0">
                  <c:v>1070</c:v>
                </c:pt>
                <c:pt idx="14" formatCode="0">
                  <c:v>1080</c:v>
                </c:pt>
                <c:pt idx="15" formatCode="0">
                  <c:v>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00-4FE9-A862-6F70CA4A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101651200"/>
        <c:axId val="101652736"/>
      </c:barChart>
      <c:lineChart>
        <c:grouping val="standard"/>
        <c:varyColors val="0"/>
        <c:ser>
          <c:idx val="4"/>
          <c:order val="4"/>
          <c:tx>
            <c:strRef>
              <c:f>'8. Employment by sector Q4'!$A$8</c:f>
              <c:strCache>
                <c:ptCount val="1"/>
                <c:pt idx="0">
                  <c:v>Other (right axis)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'8. Employment by sector Q4'!$B$3:$Q$3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  <c:pt idx="13">
                  <c:v>Q2 2020</c:v>
                </c:pt>
                <c:pt idx="14">
                  <c:v>Q3 2020</c:v>
                </c:pt>
                <c:pt idx="15">
                  <c:v>Q4 2020</c:v>
                </c:pt>
              </c:strCache>
            </c:strRef>
          </c:cat>
          <c:val>
            <c:numRef>
              <c:f>'8. Employment by sector Q4'!$B$8:$Q$8</c:f>
              <c:numCache>
                <c:formatCode>_ * #\ ##0_ ;_ * \-#\ ##0_ ;_ * "-"??_ ;_ @_ </c:formatCode>
                <c:ptCount val="16"/>
                <c:pt idx="0">
                  <c:v>10.310703728135223</c:v>
                </c:pt>
                <c:pt idx="1">
                  <c:v>10.537444066751657</c:v>
                </c:pt>
                <c:pt idx="2">
                  <c:v>10.060134822982107</c:v>
                </c:pt>
                <c:pt idx="3">
                  <c:v>10.150826195119054</c:v>
                </c:pt>
                <c:pt idx="4">
                  <c:v>10.563453269479314</c:v>
                </c:pt>
                <c:pt idx="5">
                  <c:v>10.880973396195936</c:v>
                </c:pt>
                <c:pt idx="6" formatCode="_(* #,##0.00_);_(* \(#,##0.00\);_(* &quot;-&quot;??_);_(@_)">
                  <c:v>11.16552039170227</c:v>
                </c:pt>
                <c:pt idx="7">
                  <c:v>11.496774393961918</c:v>
                </c:pt>
                <c:pt idx="8">
                  <c:v>11.284697592707856</c:v>
                </c:pt>
                <c:pt idx="9">
                  <c:v>11.896543919969721</c:v>
                </c:pt>
                <c:pt idx="10">
                  <c:v>12.057454964847548</c:v>
                </c:pt>
                <c:pt idx="11" formatCode="0">
                  <c:v>12.565061293858697</c:v>
                </c:pt>
                <c:pt idx="12" formatCode="0">
                  <c:v>12.353141650510768</c:v>
                </c:pt>
                <c:pt idx="13" formatCode="0">
                  <c:v>10.714611143973746</c:v>
                </c:pt>
                <c:pt idx="14" formatCode="0">
                  <c:v>11.253321344765055</c:v>
                </c:pt>
                <c:pt idx="15" formatCode="0">
                  <c:v>11.457518888150862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400-4FE9-A862-6F70CA4A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56832"/>
        <c:axId val="101654912"/>
      </c:lineChart>
      <c:catAx>
        <c:axId val="1016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1652736"/>
        <c:crosses val="autoZero"/>
        <c:auto val="0"/>
        <c:lblAlgn val="ctr"/>
        <c:lblOffset val="100"/>
        <c:noMultiLvlLbl val="0"/>
      </c:catAx>
      <c:valAx>
        <c:axId val="101652736"/>
        <c:scaling>
          <c:orientation val="minMax"/>
          <c:max val="7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thousands 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01651200"/>
        <c:crosses val="autoZero"/>
        <c:crossBetween val="between"/>
      </c:valAx>
      <c:valAx>
        <c:axId val="101654912"/>
        <c:scaling>
          <c:orientation val="minMax"/>
          <c:max val="14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millions 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01656832"/>
        <c:crosses val="max"/>
        <c:crossBetween val="between"/>
      </c:valAx>
      <c:catAx>
        <c:axId val="10165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65491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 Employment in mfg and other'!$A$5</c:f>
              <c:strCache>
                <c:ptCount val="1"/>
                <c:pt idx="0">
                  <c:v>Base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'9. Employment in mfg and other'!$B$4:$BA$4</c:f>
              <c:numCache>
                <c:formatCode>General</c:formatCode>
                <c:ptCount val="5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</c:numCache>
            </c:numRef>
          </c:cat>
          <c:val>
            <c:numRef>
              <c:f>'9. Employment in mfg and other'!$B$5:$BA$5</c:f>
              <c:numCache>
                <c:formatCode>_ * #\ ##0_ ;_ * \-#\ ##0_ ;_ * "-"??_ ;_ @_ </c:formatCode>
                <c:ptCount val="5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6C0-4775-B3A0-722219C29F1B}"/>
            </c:ext>
          </c:extLst>
        </c:ser>
        <c:ser>
          <c:idx val="2"/>
          <c:order val="1"/>
          <c:tx>
            <c:strRef>
              <c:f>'9. Employment in mfg and other'!$A$6</c:f>
              <c:strCache>
                <c:ptCount val="1"/>
                <c:pt idx="0">
                  <c:v>Manufacturing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'9. Employment in mfg and other'!$B$4:$BA$4</c:f>
              <c:numCache>
                <c:formatCode>General</c:formatCode>
                <c:ptCount val="5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</c:numCache>
            </c:numRef>
          </c:cat>
          <c:val>
            <c:numRef>
              <c:f>'9. Employment in mfg and other'!$B$6:$BA$6</c:f>
              <c:numCache>
                <c:formatCode>_ * #\ ##0_ ;_ * \-#\ ##0_ ;_ * "-"??_ ;_ @_ </c:formatCode>
                <c:ptCount val="52"/>
                <c:pt idx="0">
                  <c:v>100</c:v>
                </c:pt>
                <c:pt idx="1">
                  <c:v>99.416815108848652</c:v>
                </c:pt>
                <c:pt idx="2">
                  <c:v>97.350246847756537</c:v>
                </c:pt>
                <c:pt idx="3">
                  <c:v>99.330945876920779</c:v>
                </c:pt>
                <c:pt idx="4">
                  <c:v>96.2185343855908</c:v>
                </c:pt>
                <c:pt idx="5">
                  <c:v>96.232680515496199</c:v>
                </c:pt>
                <c:pt idx="6">
                  <c:v>88.353741857368234</c:v>
                </c:pt>
                <c:pt idx="7">
                  <c:v>89.340634413858382</c:v>
                </c:pt>
                <c:pt idx="8">
                  <c:v>87.449184837843433</c:v>
                </c:pt>
                <c:pt idx="9">
                  <c:v>85.561578809686523</c:v>
                </c:pt>
                <c:pt idx="10">
                  <c:v>85.949646539455145</c:v>
                </c:pt>
                <c:pt idx="11">
                  <c:v>89.451281491554468</c:v>
                </c:pt>
                <c:pt idx="12">
                  <c:v>90.266583579055677</c:v>
                </c:pt>
                <c:pt idx="13">
                  <c:v>86.78327389149419</c:v>
                </c:pt>
                <c:pt idx="14">
                  <c:v>86.978848883819651</c:v>
                </c:pt>
                <c:pt idx="15">
                  <c:v>90.435989131074436</c:v>
                </c:pt>
                <c:pt idx="16">
                  <c:v>87.038078201555123</c:v>
                </c:pt>
                <c:pt idx="17">
                  <c:v>84.369510125257108</c:v>
                </c:pt>
                <c:pt idx="18">
                  <c:v>86.807381316404928</c:v>
                </c:pt>
                <c:pt idx="19">
                  <c:v>85.941372172286847</c:v>
                </c:pt>
                <c:pt idx="20">
                  <c:v>87.917187617573433</c:v>
                </c:pt>
                <c:pt idx="21">
                  <c:v>87.047456711501241</c:v>
                </c:pt>
                <c:pt idx="22">
                  <c:v>84.224105122238726</c:v>
                </c:pt>
                <c:pt idx="23">
                  <c:v>83.661493886692256</c:v>
                </c:pt>
                <c:pt idx="24">
                  <c:v>85.453145914671609</c:v>
                </c:pt>
                <c:pt idx="25">
                  <c:v>82.633087453494696</c:v>
                </c:pt>
                <c:pt idx="26">
                  <c:v>82.43761318187552</c:v>
                </c:pt>
                <c:pt idx="27">
                  <c:v>82.859318444856072</c:v>
                </c:pt>
                <c:pt idx="28">
                  <c:v>84.241728153874433</c:v>
                </c:pt>
                <c:pt idx="29">
                  <c:v>83.17301641925809</c:v>
                </c:pt>
                <c:pt idx="30">
                  <c:v>84.037614692946661</c:v>
                </c:pt>
                <c:pt idx="31">
                  <c:v>82.325790419829019</c:v>
                </c:pt>
                <c:pt idx="32">
                  <c:v>77.89904614213404</c:v>
                </c:pt>
                <c:pt idx="33">
                  <c:v>81.06420748790822</c:v>
                </c:pt>
                <c:pt idx="34">
                  <c:v>79.721997543334012</c:v>
                </c:pt>
                <c:pt idx="35">
                  <c:v>81.815294299576252</c:v>
                </c:pt>
                <c:pt idx="36">
                  <c:v>84.77134258550295</c:v>
                </c:pt>
                <c:pt idx="37">
                  <c:v>85.22514883289027</c:v>
                </c:pt>
                <c:pt idx="38">
                  <c:v>82.840993010741542</c:v>
                </c:pt>
                <c:pt idx="39">
                  <c:v>84.811385238996365</c:v>
                </c:pt>
                <c:pt idx="40">
                  <c:v>87.577199886306516</c:v>
                </c:pt>
                <c:pt idx="41">
                  <c:v>82.606470401255166</c:v>
                </c:pt>
                <c:pt idx="42">
                  <c:v>81.399108296164371</c:v>
                </c:pt>
                <c:pt idx="43">
                  <c:v>83.654271705079822</c:v>
                </c:pt>
                <c:pt idx="44">
                  <c:v>84.312355198127747</c:v>
                </c:pt>
                <c:pt idx="45">
                  <c:v>84.752922859375502</c:v>
                </c:pt>
                <c:pt idx="46">
                  <c:v>83.355667649783555</c:v>
                </c:pt>
                <c:pt idx="47">
                  <c:v>81.484922853490474</c:v>
                </c:pt>
                <c:pt idx="48">
                  <c:v>80.795764240113527</c:v>
                </c:pt>
                <c:pt idx="49">
                  <c:v>68.953950549984228</c:v>
                </c:pt>
                <c:pt idx="50">
                  <c:v>69.132443726935051</c:v>
                </c:pt>
                <c:pt idx="51">
                  <c:v>70.602532830284545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6C0-4775-B3A0-722219C29F1B}"/>
            </c:ext>
          </c:extLst>
        </c:ser>
        <c:ser>
          <c:idx val="1"/>
          <c:order val="2"/>
          <c:tx>
            <c:strRef>
              <c:f>'9. Employment in mfg and other'!$A$7</c:f>
              <c:strCache>
                <c:ptCount val="1"/>
                <c:pt idx="0">
                  <c:v>Total ex manufacturing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'9. Employment in mfg and other'!$B$4:$BA$4</c:f>
              <c:numCache>
                <c:formatCode>General</c:formatCode>
                <c:ptCount val="5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</c:numCache>
            </c:numRef>
          </c:cat>
          <c:val>
            <c:numRef>
              <c:f>'9. Employment in mfg and other'!$B$7:$BA$7</c:f>
              <c:numCache>
                <c:formatCode>_ * #\ ##0_ ;_ * \-#\ ##0_ ;_ * "-"??_ ;_ @_ </c:formatCode>
                <c:ptCount val="52"/>
                <c:pt idx="0">
                  <c:v>100</c:v>
                </c:pt>
                <c:pt idx="1">
                  <c:v>101.29045841176602</c:v>
                </c:pt>
                <c:pt idx="2">
                  <c:v>101.35248623208383</c:v>
                </c:pt>
                <c:pt idx="3">
                  <c:v>102.79954680739314</c:v>
                </c:pt>
                <c:pt idx="4">
                  <c:v>102.08981354763935</c:v>
                </c:pt>
                <c:pt idx="5">
                  <c:v>99.989936415360958</c:v>
                </c:pt>
                <c:pt idx="6">
                  <c:v>97.062774634476995</c:v>
                </c:pt>
                <c:pt idx="7">
                  <c:v>98.055786597880527</c:v>
                </c:pt>
                <c:pt idx="8">
                  <c:v>96.953685508968192</c:v>
                </c:pt>
                <c:pt idx="9">
                  <c:v>97.370001165657712</c:v>
                </c:pt>
                <c:pt idx="10">
                  <c:v>95.997939798541495</c:v>
                </c:pt>
                <c:pt idx="11">
                  <c:v>97.429314561209921</c:v>
                </c:pt>
                <c:pt idx="12">
                  <c:v>97.333815860156122</c:v>
                </c:pt>
                <c:pt idx="13">
                  <c:v>98.078216981383235</c:v>
                </c:pt>
                <c:pt idx="14">
                  <c:v>99.639476202806577</c:v>
                </c:pt>
                <c:pt idx="15">
                  <c:v>100.81612132438585</c:v>
                </c:pt>
                <c:pt idx="16">
                  <c:v>100.9735199927176</c:v>
                </c:pt>
                <c:pt idx="17">
                  <c:v>101.80329218931115</c:v>
                </c:pt>
                <c:pt idx="18">
                  <c:v>103.26461176692013</c:v>
                </c:pt>
                <c:pt idx="19">
                  <c:v>103.10657335297077</c:v>
                </c:pt>
                <c:pt idx="20">
                  <c:v>103.04823632702815</c:v>
                </c:pt>
                <c:pt idx="21">
                  <c:v>104.27751224370314</c:v>
                </c:pt>
                <c:pt idx="22">
                  <c:v>107.55432398604306</c:v>
                </c:pt>
                <c:pt idx="23">
                  <c:v>108.7938547693162</c:v>
                </c:pt>
                <c:pt idx="24">
                  <c:v>107.49753074048454</c:v>
                </c:pt>
                <c:pt idx="25">
                  <c:v>108.30061470991473</c:v>
                </c:pt>
                <c:pt idx="26">
                  <c:v>108.51521509221004</c:v>
                </c:pt>
                <c:pt idx="27">
                  <c:v>110.09019488257019</c:v>
                </c:pt>
                <c:pt idx="28">
                  <c:v>110.98763023895444</c:v>
                </c:pt>
                <c:pt idx="29">
                  <c:v>112.77360212222796</c:v>
                </c:pt>
                <c:pt idx="30">
                  <c:v>114.0163146529942</c:v>
                </c:pt>
                <c:pt idx="31">
                  <c:v>115.84791208937834</c:v>
                </c:pt>
                <c:pt idx="32">
                  <c:v>113.81899635296018</c:v>
                </c:pt>
                <c:pt idx="33">
                  <c:v>112.22979438293666</c:v>
                </c:pt>
                <c:pt idx="34">
                  <c:v>114.79408497046846</c:v>
                </c:pt>
                <c:pt idx="35">
                  <c:v>116.34539525200569</c:v>
                </c:pt>
                <c:pt idx="36">
                  <c:v>117.00436297854178</c:v>
                </c:pt>
                <c:pt idx="37">
                  <c:v>116.01361553174337</c:v>
                </c:pt>
                <c:pt idx="38">
                  <c:v>117.1680347357039</c:v>
                </c:pt>
                <c:pt idx="39">
                  <c:v>116.66306410295245</c:v>
                </c:pt>
                <c:pt idx="40">
                  <c:v>117.86457330252131</c:v>
                </c:pt>
                <c:pt idx="41">
                  <c:v>117.98810159677228</c:v>
                </c:pt>
                <c:pt idx="42">
                  <c:v>118.94345722391586</c:v>
                </c:pt>
                <c:pt idx="43">
                  <c:v>119.76292947575151</c:v>
                </c:pt>
                <c:pt idx="44">
                  <c:v>117.72538538707438</c:v>
                </c:pt>
                <c:pt idx="45">
                  <c:v>117.82247705533555</c:v>
                </c:pt>
                <c:pt idx="46">
                  <c:v>118.56724133985051</c:v>
                </c:pt>
                <c:pt idx="47">
                  <c:v>119.25484243171496</c:v>
                </c:pt>
                <c:pt idx="48">
                  <c:v>119.06693000797375</c:v>
                </c:pt>
                <c:pt idx="49">
                  <c:v>102.96882345922246</c:v>
                </c:pt>
                <c:pt idx="50">
                  <c:v>107.34060786972086</c:v>
                </c:pt>
                <c:pt idx="51">
                  <c:v>109.78773655447563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6C0-4775-B3A0-722219C29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236736"/>
        <c:axId val="169243008"/>
      </c:lineChart>
      <c:catAx>
        <c:axId val="1692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9243008"/>
        <c:crosses val="autoZero"/>
        <c:auto val="1"/>
        <c:lblAlgn val="ctr"/>
        <c:lblOffset val="100"/>
        <c:noMultiLvlLbl val="0"/>
      </c:catAx>
      <c:valAx>
        <c:axId val="169243008"/>
        <c:scaling>
          <c:orientation val="minMax"/>
          <c:max val="120"/>
          <c:min val="6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Q1 2008 = 100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6923673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 Employment by occupation'!$C$2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'10.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'10. Employment by occupation'!$C$3:$C$8</c:f>
              <c:numCache>
                <c:formatCode>_-* #\ ##0.0_-;\-* #\ ##0.0_-;_-* "-"??_-;_-@_-</c:formatCode>
                <c:ptCount val="6"/>
                <c:pt idx="0">
                  <c:v>3.5264444316965395</c:v>
                </c:pt>
                <c:pt idx="1">
                  <c:v>3.7498281360025212</c:v>
                </c:pt>
                <c:pt idx="2">
                  <c:v>2.3440946060938015</c:v>
                </c:pt>
                <c:pt idx="3">
                  <c:v>2.5978070569286449</c:v>
                </c:pt>
                <c:pt idx="4">
                  <c:v>2.9180505590150938</c:v>
                </c:pt>
                <c:pt idx="5">
                  <c:v>1.285889042848454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56F-4931-B0FA-6A66DB40B1B6}"/>
            </c:ext>
          </c:extLst>
        </c:ser>
        <c:ser>
          <c:idx val="1"/>
          <c:order val="1"/>
          <c:tx>
            <c:strRef>
              <c:f>'10. Employment by occupation'!$D$2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'10.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'10. Employment by occupation'!$D$3:$D$8</c:f>
              <c:numCache>
                <c:formatCode>_-* #\ ##0.0_-;\-* #\ ##0.0_-;_-* "-"??_-;_-@_-</c:formatCode>
                <c:ptCount val="6"/>
                <c:pt idx="0">
                  <c:v>3.5140960208338048</c:v>
                </c:pt>
                <c:pt idx="1">
                  <c:v>3.671641094993622</c:v>
                </c:pt>
                <c:pt idx="2">
                  <c:v>2.3665009470187321</c:v>
                </c:pt>
                <c:pt idx="3">
                  <c:v>2.5974031089185154</c:v>
                </c:pt>
                <c:pt idx="4">
                  <c:v>2.9206013235921175</c:v>
                </c:pt>
                <c:pt idx="5">
                  <c:v>1.3157276169352805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56F-4931-B0FA-6A66DB40B1B6}"/>
            </c:ext>
          </c:extLst>
        </c:ser>
        <c:ser>
          <c:idx val="2"/>
          <c:order val="2"/>
          <c:tx>
            <c:strRef>
              <c:f>'10. Employment by occupation'!$E$2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'10.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'10. Employment by occupation'!$E$3:$E$8</c:f>
              <c:numCache>
                <c:formatCode>_-* #\ ##0.0_-;\-* #\ ##0.0_-;_-* "-"??_-;_-@_-</c:formatCode>
                <c:ptCount val="6"/>
                <c:pt idx="0">
                  <c:v>3.4258509970528586</c:v>
                </c:pt>
                <c:pt idx="1">
                  <c:v>3.2566949879580527</c:v>
                </c:pt>
                <c:pt idx="2">
                  <c:v>1.9555468010971662</c:v>
                </c:pt>
                <c:pt idx="3">
                  <c:v>2.1862436526289373</c:v>
                </c:pt>
                <c:pt idx="4">
                  <c:v>2.2802870018557191</c:v>
                </c:pt>
                <c:pt idx="5">
                  <c:v>1.0051591300473217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756F-4931-B0FA-6A66DB40B1B6}"/>
            </c:ext>
          </c:extLst>
        </c:ser>
        <c:ser>
          <c:idx val="3"/>
          <c:order val="3"/>
          <c:tx>
            <c:strRef>
              <c:f>'10. Employment by occupation'!$F$2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'10.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'10. Employment by occupation'!$F$3:$F$8</c:f>
              <c:numCache>
                <c:formatCode>_-* #\ ##0.0_-;\-* #\ ##0.0_-;_-* "-"??_-;_-@_-</c:formatCode>
                <c:ptCount val="6"/>
                <c:pt idx="0">
                  <c:v>3.480943060815501</c:v>
                </c:pt>
                <c:pt idx="1">
                  <c:v>3.3083796288289964</c:v>
                </c:pt>
                <c:pt idx="2">
                  <c:v>1.9768976485563716</c:v>
                </c:pt>
                <c:pt idx="3">
                  <c:v>2.3018276711450678</c:v>
                </c:pt>
                <c:pt idx="4">
                  <c:v>2.4561481963991998</c:v>
                </c:pt>
                <c:pt idx="5">
                  <c:v>1.1207013689986063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6F-4931-B0FA-6A66DB40B1B6}"/>
            </c:ext>
          </c:extLst>
        </c:ser>
        <c:ser>
          <c:idx val="4"/>
          <c:order val="4"/>
          <c:tx>
            <c:strRef>
              <c:f>'10. Employment by occupation'!$G$2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'10.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'10. Employment by occupation'!$G$3:$G$8</c:f>
              <c:numCache>
                <c:formatCode>_-* #\ ##0.0_-;\-* #\ ##0.0_-;_-* "-"??_-;_-@_-</c:formatCode>
                <c:ptCount val="6"/>
                <c:pt idx="0">
                  <c:v>3.4383045318890799</c:v>
                </c:pt>
                <c:pt idx="1">
                  <c:v>3.4388816353665987</c:v>
                </c:pt>
                <c:pt idx="2">
                  <c:v>2.0681316652927881</c:v>
                </c:pt>
                <c:pt idx="3">
                  <c:v>2.2851782684886408</c:v>
                </c:pt>
                <c:pt idx="4">
                  <c:v>2.5211390249229217</c:v>
                </c:pt>
                <c:pt idx="5">
                  <c:v>1.1967317787969305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6F-4931-B0FA-6A66DB40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  <c:extLst/>
      </c:barChart>
      <c:lineChart>
        <c:grouping val="standard"/>
        <c:varyColors val="0"/>
        <c:ser>
          <c:idx val="5"/>
          <c:order val="5"/>
          <c:tx>
            <c:strRef>
              <c:f>'10. Employment by occupation'!$H$2</c:f>
              <c:strCache>
                <c:ptCount val="1"/>
                <c:pt idx="0">
                  <c:v>% change, Q4 2019 to Q4 2020 (right axis)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36"/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'10.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'10. Employment by occupation'!$H$3:$H$8</c:f>
              <c:numCache>
                <c:formatCode>0%</c:formatCode>
                <c:ptCount val="6"/>
                <c:pt idx="0">
                  <c:v>-2.4993985163990318E-2</c:v>
                </c:pt>
                <c:pt idx="1">
                  <c:v>-8.2922867224364261E-2</c:v>
                </c:pt>
                <c:pt idx="2">
                  <c:v>-0.11772687846455043</c:v>
                </c:pt>
                <c:pt idx="3">
                  <c:v>-0.12034334405482028</c:v>
                </c:pt>
                <c:pt idx="4">
                  <c:v>-0.13601941641002213</c:v>
                </c:pt>
                <c:pt idx="5">
                  <c:v>-6.9335114524364694E-2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6F-4931-B0FA-6A66DB40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346704"/>
        <c:axId val="599771632"/>
      </c:line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valAx>
        <c:axId val="599771632"/>
        <c:scaling>
          <c:orientation val="minMax"/>
          <c:max val="0"/>
          <c:min val="-0.4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percentage difference, Q4 2019 to Q4 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346704"/>
        <c:crosses val="max"/>
        <c:crossBetween val="between"/>
      </c:valAx>
      <c:catAx>
        <c:axId val="73434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9771632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'11. Empl by mfg industry'!$B$3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'11.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'11. Empl by mfg industry'!$B$4:$B$13</c:f>
              <c:numCache>
                <c:formatCode>_ * #\ ##0_ ;_ * \-#\ ##0_ ;_ * "-"??_ ;_ @_ </c:formatCode>
                <c:ptCount val="10"/>
                <c:pt idx="0">
                  <c:v>366.05200000000002</c:v>
                </c:pt>
                <c:pt idx="1">
                  <c:v>241.37700000000001</c:v>
                </c:pt>
                <c:pt idx="2">
                  <c:v>117.991</c:v>
                </c:pt>
                <c:pt idx="3">
                  <c:v>53.244</c:v>
                </c:pt>
                <c:pt idx="4">
                  <c:v>224.86099999999999</c:v>
                </c:pt>
                <c:pt idx="5">
                  <c:v>127.631</c:v>
                </c:pt>
                <c:pt idx="6" formatCode="0">
                  <c:v>244.578</c:v>
                </c:pt>
                <c:pt idx="7" formatCode="0">
                  <c:v>139.83199999999999</c:v>
                </c:pt>
                <c:pt idx="8" formatCode="0">
                  <c:v>103.16</c:v>
                </c:pt>
                <c:pt idx="9" formatCode="0">
                  <c:v>76.700999999999993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B-493D-82C3-69C2AB473680}"/>
            </c:ext>
          </c:extLst>
        </c:ser>
        <c:ser>
          <c:idx val="1"/>
          <c:order val="1"/>
          <c:tx>
            <c:strRef>
              <c:f>'11. Empl by mfg industry'!$C$3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'11.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'11. Empl by mfg industry'!$C$4:$C$13</c:f>
              <c:numCache>
                <c:formatCode>0</c:formatCode>
                <c:ptCount val="10"/>
                <c:pt idx="0">
                  <c:v>370.75400000000002</c:v>
                </c:pt>
                <c:pt idx="1">
                  <c:v>245.76400000000001</c:v>
                </c:pt>
                <c:pt idx="2">
                  <c:v>101.66</c:v>
                </c:pt>
                <c:pt idx="3">
                  <c:v>64.441999999999993</c:v>
                </c:pt>
                <c:pt idx="4">
                  <c:v>243.64699999999999</c:v>
                </c:pt>
                <c:pt idx="5">
                  <c:v>122.78700000000001</c:v>
                </c:pt>
                <c:pt idx="6">
                  <c:v>238.96700000000001</c:v>
                </c:pt>
                <c:pt idx="7">
                  <c:v>117.821</c:v>
                </c:pt>
                <c:pt idx="8">
                  <c:v>101.18899999999999</c:v>
                </c:pt>
                <c:pt idx="9">
                  <c:v>77.573999999999998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B-493D-82C3-69C2AB473680}"/>
            </c:ext>
          </c:extLst>
        </c:ser>
        <c:ser>
          <c:idx val="2"/>
          <c:order val="2"/>
          <c:tx>
            <c:strRef>
              <c:f>'11. Empl by mfg industry'!$D$3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'11.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'11. Empl by mfg industry'!$D$4:$D$13</c:f>
              <c:numCache>
                <c:formatCode>_-* #\ ##0_-;\-* #\ ##0_-;_-* "-"??_-;_-@_-</c:formatCode>
                <c:ptCount val="10"/>
                <c:pt idx="0">
                  <c:v>344.476</c:v>
                </c:pt>
                <c:pt idx="1">
                  <c:v>179.44300000000001</c:v>
                </c:pt>
                <c:pt idx="2">
                  <c:v>89.882000000000005</c:v>
                </c:pt>
                <c:pt idx="3">
                  <c:v>42.625</c:v>
                </c:pt>
                <c:pt idx="4">
                  <c:v>260.036</c:v>
                </c:pt>
                <c:pt idx="5">
                  <c:v>81.716999999999999</c:v>
                </c:pt>
                <c:pt idx="6">
                  <c:v>176.745</c:v>
                </c:pt>
                <c:pt idx="7">
                  <c:v>128.23500000000001</c:v>
                </c:pt>
                <c:pt idx="8">
                  <c:v>87.444000000000003</c:v>
                </c:pt>
                <c:pt idx="9">
                  <c:v>52.08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3B-493D-82C3-69C2AB473680}"/>
            </c:ext>
          </c:extLst>
        </c:ser>
        <c:ser>
          <c:idx val="3"/>
          <c:order val="3"/>
          <c:tx>
            <c:strRef>
              <c:f>'11. Empl by mfg industry'!$E$3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472C4">
                <a:lumMod val="20000"/>
                <a:lumOff val="8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'11.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'11. Empl by mfg industry'!$E$4:$E$13</c:f>
              <c:numCache>
                <c:formatCode>_-* #\ ##0_-;\-* #\ ##0_-;_-* "-"??_-;_-@_-</c:formatCode>
                <c:ptCount val="10"/>
                <c:pt idx="0">
                  <c:v>357.40499999999997</c:v>
                </c:pt>
                <c:pt idx="1">
                  <c:v>196.91900000000001</c:v>
                </c:pt>
                <c:pt idx="2">
                  <c:v>87.384</c:v>
                </c:pt>
                <c:pt idx="3">
                  <c:v>58.835000000000001</c:v>
                </c:pt>
                <c:pt idx="4">
                  <c:v>199.60900000000001</c:v>
                </c:pt>
                <c:pt idx="5">
                  <c:v>102.011</c:v>
                </c:pt>
                <c:pt idx="6">
                  <c:v>184.14599999999999</c:v>
                </c:pt>
                <c:pt idx="7">
                  <c:v>111.292</c:v>
                </c:pt>
                <c:pt idx="8">
                  <c:v>87.113</c:v>
                </c:pt>
                <c:pt idx="9">
                  <c:v>55.304000000000002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3B-493D-82C3-69C2AB473680}"/>
            </c:ext>
          </c:extLst>
        </c:ser>
        <c:ser>
          <c:idx val="4"/>
          <c:order val="4"/>
          <c:tx>
            <c:strRef>
              <c:f>'11. Empl by mfg industry'!$F$3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'11.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'11. Empl by mfg industry'!$F$4:$F$13</c:f>
              <c:numCache>
                <c:formatCode>_ * #\ ##0_ ;_ * \-#\ ##0_ ;_ * "-"??_ ;_ @_ </c:formatCode>
                <c:ptCount val="10"/>
                <c:pt idx="0">
                  <c:v>358.81742276894983</c:v>
                </c:pt>
                <c:pt idx="1">
                  <c:v>219.64426167574715</c:v>
                </c:pt>
                <c:pt idx="2">
                  <c:v>80.558616647539992</c:v>
                </c:pt>
                <c:pt idx="3">
                  <c:v>48.17813297882001</c:v>
                </c:pt>
                <c:pt idx="4">
                  <c:v>235.366463012135</c:v>
                </c:pt>
                <c:pt idx="5">
                  <c:v>75.353441659809974</c:v>
                </c:pt>
                <c:pt idx="6">
                  <c:v>205.55878200124994</c:v>
                </c:pt>
                <c:pt idx="7">
                  <c:v>122.56274671994002</c:v>
                </c:pt>
                <c:pt idx="8">
                  <c:v>82.208356691140011</c:v>
                </c:pt>
                <c:pt idx="9">
                  <c:v>85.724552013100009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3B-493D-82C3-69C2AB473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'12. Mining employment'!$B$3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'12. Mining employment'!$A$4:$A$46</c:f>
              <c:numCache>
                <c:formatCode>General</c:formatCode>
                <c:ptCount val="43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'12. Mining employment'!$B$4:$B$46</c:f>
              <c:numCache>
                <c:formatCode>_ * #\ ##0_ ;_ * \-#\ ##0_ ;_ * "-"??_ ;_ @_ </c:formatCode>
                <c:ptCount val="43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456000</c:v>
                </c:pt>
                <c:pt idx="28">
                  <c:v>464000</c:v>
                </c:pt>
                <c:pt idx="29">
                  <c:v>471000</c:v>
                </c:pt>
                <c:pt idx="30">
                  <c:v>460000</c:v>
                </c:pt>
                <c:pt idx="31">
                  <c:v>457000</c:v>
                </c:pt>
                <c:pt idx="32">
                  <c:v>454000</c:v>
                </c:pt>
                <c:pt idx="33">
                  <c:v>459000</c:v>
                </c:pt>
                <c:pt idx="34">
                  <c:v>456000</c:v>
                </c:pt>
                <c:pt idx="35">
                  <c:v>453000</c:v>
                </c:pt>
                <c:pt idx="36">
                  <c:v>455000</c:v>
                </c:pt>
                <c:pt idx="37">
                  <c:v>462000</c:v>
                </c:pt>
                <c:pt idx="38">
                  <c:v>463000</c:v>
                </c:pt>
                <c:pt idx="39">
                  <c:v>452000</c:v>
                </c:pt>
                <c:pt idx="40">
                  <c:v>456000</c:v>
                </c:pt>
                <c:pt idx="41">
                  <c:v>452000</c:v>
                </c:pt>
                <c:pt idx="42">
                  <c:v>450000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3-417D-A01F-FC2A4C390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166979456"/>
        <c:axId val="166980992"/>
      </c:barChart>
      <c:catAx>
        <c:axId val="1669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66980992"/>
        <c:crosses val="autoZero"/>
        <c:auto val="1"/>
        <c:lblAlgn val="ctr"/>
        <c:lblOffset val="100"/>
        <c:noMultiLvlLbl val="0"/>
      </c:catAx>
      <c:valAx>
        <c:axId val="1669809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crossAx val="166979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ZA"/>
              <a:t>Billions</a:t>
            </a:r>
            <a:r>
              <a:rPr lang="en-ZA" baseline="0"/>
              <a:t> of  Constant Rands </a:t>
            </a:r>
            <a:endParaRPr lang="en-ZA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'13. Exports, imports, BOT'!$M$3</c:f>
              <c:strCache>
                <c:ptCount val="1"/>
                <c:pt idx="0">
                  <c:v>Balance</c:v>
                </c:pt>
              </c:strCache>
            </c:strRef>
          </c:tx>
          <c:spPr>
            <a:ln w="63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'13. Exports, imports, BOT'!$I$4:$J$47</c:f>
              <c:multiLvlStrCache>
                <c:ptCount val="4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'13. Exports, imports, BOT'!$M$4:$M$47</c:f>
              <c:numCache>
                <c:formatCode>_ * #\ ##0.0_ ;_ * \-#\ ##0.0_ ;_ * "-"??_ ;_ @_ </c:formatCode>
                <c:ptCount val="44"/>
                <c:pt idx="0">
                  <c:v>-14.183308921897464</c:v>
                </c:pt>
                <c:pt idx="1">
                  <c:v>5.7063719031798712</c:v>
                </c:pt>
                <c:pt idx="2">
                  <c:v>1.6004502824858378</c:v>
                </c:pt>
                <c:pt idx="3">
                  <c:v>25.450614908579496</c:v>
                </c:pt>
                <c:pt idx="4">
                  <c:v>-6.957061524249383</c:v>
                </c:pt>
                <c:pt idx="5">
                  <c:v>2.2104821768707552</c:v>
                </c:pt>
                <c:pt idx="6">
                  <c:v>-8.0080609200535378</c:v>
                </c:pt>
                <c:pt idx="7">
                  <c:v>-19.901397087378598</c:v>
                </c:pt>
                <c:pt idx="8">
                  <c:v>-40.313270813397196</c:v>
                </c:pt>
                <c:pt idx="9">
                  <c:v>-36.761072493573238</c:v>
                </c:pt>
                <c:pt idx="10">
                  <c:v>-48.529662675159216</c:v>
                </c:pt>
                <c:pt idx="11">
                  <c:v>-47.227235574112683</c:v>
                </c:pt>
                <c:pt idx="12">
                  <c:v>-61.189264611590545</c:v>
                </c:pt>
                <c:pt idx="13">
                  <c:v>-49.846854766734282</c:v>
                </c:pt>
                <c:pt idx="14">
                  <c:v>-62.026960846983741</c:v>
                </c:pt>
                <c:pt idx="15">
                  <c:v>-11.835546751188645</c:v>
                </c:pt>
                <c:pt idx="16">
                  <c:v>-38.247017934782718</c:v>
                </c:pt>
                <c:pt idx="17">
                  <c:v>-27.026043150684927</c:v>
                </c:pt>
                <c:pt idx="18">
                  <c:v>-45.73523305785119</c:v>
                </c:pt>
                <c:pt idx="19">
                  <c:v>-26.531176236881493</c:v>
                </c:pt>
                <c:pt idx="20">
                  <c:v>-42.946160655737799</c:v>
                </c:pt>
                <c:pt idx="21">
                  <c:v>11.439326219956286</c:v>
                </c:pt>
                <c:pt idx="22">
                  <c:v>-15.252939130434754</c:v>
                </c:pt>
                <c:pt idx="23">
                  <c:v>-15.883372103004319</c:v>
                </c:pt>
                <c:pt idx="24">
                  <c:v>-19.954744615384641</c:v>
                </c:pt>
                <c:pt idx="25">
                  <c:v>36.795731076923062</c:v>
                </c:pt>
                <c:pt idx="26">
                  <c:v>4.0307922998986214</c:v>
                </c:pt>
                <c:pt idx="27">
                  <c:v>7.5359722984275095</c:v>
                </c:pt>
                <c:pt idx="28">
                  <c:v>5.7528027586208736</c:v>
                </c:pt>
                <c:pt idx="29">
                  <c:v>28.422840000000008</c:v>
                </c:pt>
                <c:pt idx="30">
                  <c:v>22.307500161134385</c:v>
                </c:pt>
                <c:pt idx="31">
                  <c:v>37.009734057508012</c:v>
                </c:pt>
                <c:pt idx="32">
                  <c:v>-20.139983280757122</c:v>
                </c:pt>
                <c:pt idx="33">
                  <c:v>18.490267122436308</c:v>
                </c:pt>
                <c:pt idx="34">
                  <c:v>0.5615267034990552</c:v>
                </c:pt>
                <c:pt idx="35">
                  <c:v>17.305894736842106</c:v>
                </c:pt>
                <c:pt idx="36">
                  <c:v>-4.4426612170753401</c:v>
                </c:pt>
                <c:pt idx="37">
                  <c:v>3.8633073490032643</c:v>
                </c:pt>
                <c:pt idx="38">
                  <c:v>6.1660884173298314</c:v>
                </c:pt>
                <c:pt idx="39">
                  <c:v>23.862787202817685</c:v>
                </c:pt>
                <c:pt idx="40">
                  <c:v>35.738626848361832</c:v>
                </c:pt>
                <c:pt idx="41">
                  <c:v>30.869189424753017</c:v>
                </c:pt>
                <c:pt idx="42">
                  <c:v>109.44499999999999</c:v>
                </c:pt>
                <c:pt idx="43">
                  <c:v>103.27000000000004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7-429E-9C79-0DB8B9C6B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'13. Exports, imports, BOT'!$K$3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'13. Exports, imports, BOT'!$I$4:$J$47</c:f>
              <c:multiLvlStrCache>
                <c:ptCount val="4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'13. Exports, imports, BOT'!$K$4:$K$47</c:f>
              <c:numCache>
                <c:formatCode>_ * #\ ##0_ ;_ * \-#\ ##0_ ;_ * "-"??_ ;_ @_ </c:formatCode>
                <c:ptCount val="44"/>
                <c:pt idx="0">
                  <c:v>215.4225784858649</c:v>
                </c:pt>
                <c:pt idx="1">
                  <c:v>243.88945856668252</c:v>
                </c:pt>
                <c:pt idx="2">
                  <c:v>259.70509039548023</c:v>
                </c:pt>
                <c:pt idx="3">
                  <c:v>268.80760646976091</c:v>
                </c:pt>
                <c:pt idx="4">
                  <c:v>254.04156332563517</c:v>
                </c:pt>
                <c:pt idx="5">
                  <c:v>267.36522775510207</c:v>
                </c:pt>
                <c:pt idx="6">
                  <c:v>289.44864198302815</c:v>
                </c:pt>
                <c:pt idx="7">
                  <c:v>297.36056504854366</c:v>
                </c:pt>
                <c:pt idx="8">
                  <c:v>261.05152535885173</c:v>
                </c:pt>
                <c:pt idx="9">
                  <c:v>264.7364033419023</c:v>
                </c:pt>
                <c:pt idx="10">
                  <c:v>269.77853401273893</c:v>
                </c:pt>
                <c:pt idx="11">
                  <c:v>272.63309762004184</c:v>
                </c:pt>
                <c:pt idx="12">
                  <c:v>257.26028779284837</c:v>
                </c:pt>
                <c:pt idx="13">
                  <c:v>284.68937744421908</c:v>
                </c:pt>
                <c:pt idx="14">
                  <c:v>311.83265489412702</c:v>
                </c:pt>
                <c:pt idx="15">
                  <c:v>341.40396846275752</c:v>
                </c:pt>
                <c:pt idx="16">
                  <c:v>325.95493788819874</c:v>
                </c:pt>
                <c:pt idx="17">
                  <c:v>313.14846712328779</c:v>
                </c:pt>
                <c:pt idx="18">
                  <c:v>321.48840743801662</c:v>
                </c:pt>
                <c:pt idx="19">
                  <c:v>341.17234295352324</c:v>
                </c:pt>
                <c:pt idx="20">
                  <c:v>305.62953934426235</c:v>
                </c:pt>
                <c:pt idx="21">
                  <c:v>336.00455549890745</c:v>
                </c:pt>
                <c:pt idx="22">
                  <c:v>342.87576996047432</c:v>
                </c:pt>
                <c:pt idx="23">
                  <c:v>335.45982639484981</c:v>
                </c:pt>
                <c:pt idx="24">
                  <c:v>315.55335692307693</c:v>
                </c:pt>
                <c:pt idx="25">
                  <c:v>360.67297989743594</c:v>
                </c:pt>
                <c:pt idx="26">
                  <c:v>336.54256818642352</c:v>
                </c:pt>
                <c:pt idx="27">
                  <c:v>328.16003084643694</c:v>
                </c:pt>
                <c:pt idx="28">
                  <c:v>308.69775330049271</c:v>
                </c:pt>
                <c:pt idx="29">
                  <c:v>338.51826857142862</c:v>
                </c:pt>
                <c:pt idx="30">
                  <c:v>336.70701869158876</c:v>
                </c:pt>
                <c:pt idx="31">
                  <c:v>362.85368664536747</c:v>
                </c:pt>
                <c:pt idx="32">
                  <c:v>297.00535911671926</c:v>
                </c:pt>
                <c:pt idx="33">
                  <c:v>327.71422802983227</c:v>
                </c:pt>
                <c:pt idx="34">
                  <c:v>362.15251381215467</c:v>
                </c:pt>
                <c:pt idx="35">
                  <c:v>367.19580660954716</c:v>
                </c:pt>
                <c:pt idx="36">
                  <c:v>309.36913533151682</c:v>
                </c:pt>
                <c:pt idx="37">
                  <c:v>337.85309669741144</c:v>
                </c:pt>
                <c:pt idx="38">
                  <c:v>353.35264014146782</c:v>
                </c:pt>
                <c:pt idx="39">
                  <c:v>351.63370355151159</c:v>
                </c:pt>
                <c:pt idx="40">
                  <c:v>333.17004755001454</c:v>
                </c:pt>
                <c:pt idx="41">
                  <c:v>278.31864439279485</c:v>
                </c:pt>
                <c:pt idx="42">
                  <c:v>387.89499999999998</c:v>
                </c:pt>
                <c:pt idx="43">
                  <c:v>412.05200000000002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077-429E-9C79-0DB8B9C6BDE0}"/>
            </c:ext>
          </c:extLst>
        </c:ser>
        <c:ser>
          <c:idx val="1"/>
          <c:order val="1"/>
          <c:tx>
            <c:strRef>
              <c:f>'13. Exports, imports, BOT'!$L$3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75000"/>
                </a:srgbClr>
              </a:solidFill>
              <a:ln>
                <a:noFill/>
              </a:ln>
            </c:spPr>
          </c:marker>
          <c:cat>
            <c:multiLvlStrRef>
              <c:f>'13. Exports, imports, BOT'!$I$4:$J$47</c:f>
              <c:multiLvlStrCache>
                <c:ptCount val="4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'13. Exports, imports, BOT'!$L$4:$L$47</c:f>
              <c:numCache>
                <c:formatCode>_ * #\ ##0_ ;_ * \-#\ ##0_ ;_ * "-"??_ ;_ @_ </c:formatCode>
                <c:ptCount val="44"/>
                <c:pt idx="0">
                  <c:v>229.60588740776237</c:v>
                </c:pt>
                <c:pt idx="1">
                  <c:v>238.18308666350265</c:v>
                </c:pt>
                <c:pt idx="2">
                  <c:v>258.10464011299439</c:v>
                </c:pt>
                <c:pt idx="3">
                  <c:v>243.35699156118142</c:v>
                </c:pt>
                <c:pt idx="4">
                  <c:v>260.99862484988455</c:v>
                </c:pt>
                <c:pt idx="5">
                  <c:v>265.15474557823131</c:v>
                </c:pt>
                <c:pt idx="6">
                  <c:v>297.45670290308169</c:v>
                </c:pt>
                <c:pt idx="7">
                  <c:v>317.26196213592226</c:v>
                </c:pt>
                <c:pt idx="8">
                  <c:v>301.36479617224893</c:v>
                </c:pt>
                <c:pt idx="9">
                  <c:v>301.49747583547554</c:v>
                </c:pt>
                <c:pt idx="10">
                  <c:v>318.30819668789815</c:v>
                </c:pt>
                <c:pt idx="11">
                  <c:v>319.86033319415452</c:v>
                </c:pt>
                <c:pt idx="12">
                  <c:v>318.44955240443892</c:v>
                </c:pt>
                <c:pt idx="13">
                  <c:v>334.53623221095336</c:v>
                </c:pt>
                <c:pt idx="14">
                  <c:v>373.85961574111076</c:v>
                </c:pt>
                <c:pt idx="15">
                  <c:v>353.23951521394616</c:v>
                </c:pt>
                <c:pt idx="16">
                  <c:v>364.20195582298146</c:v>
                </c:pt>
                <c:pt idx="17">
                  <c:v>340.17451027397271</c:v>
                </c:pt>
                <c:pt idx="18">
                  <c:v>367.22364049586781</c:v>
                </c:pt>
                <c:pt idx="19">
                  <c:v>367.70351919040473</c:v>
                </c:pt>
                <c:pt idx="20">
                  <c:v>348.57570000000015</c:v>
                </c:pt>
                <c:pt idx="21">
                  <c:v>324.56522927895116</c:v>
                </c:pt>
                <c:pt idx="22">
                  <c:v>358.12870909090907</c:v>
                </c:pt>
                <c:pt idx="23">
                  <c:v>351.34319849785413</c:v>
                </c:pt>
                <c:pt idx="24">
                  <c:v>335.50810153846157</c:v>
                </c:pt>
                <c:pt idx="25">
                  <c:v>323.87724882051288</c:v>
                </c:pt>
                <c:pt idx="26">
                  <c:v>332.5117758865249</c:v>
                </c:pt>
                <c:pt idx="27">
                  <c:v>320.62405854800943</c:v>
                </c:pt>
                <c:pt idx="28">
                  <c:v>302.94495054187183</c:v>
                </c:pt>
                <c:pt idx="29">
                  <c:v>310.09542857142861</c:v>
                </c:pt>
                <c:pt idx="30">
                  <c:v>314.39951853045437</c:v>
                </c:pt>
                <c:pt idx="31">
                  <c:v>325.84395258785946</c:v>
                </c:pt>
                <c:pt idx="32">
                  <c:v>317.14534239747638</c:v>
                </c:pt>
                <c:pt idx="33">
                  <c:v>309.22396090739596</c:v>
                </c:pt>
                <c:pt idx="34">
                  <c:v>361.59098710865561</c:v>
                </c:pt>
                <c:pt idx="35">
                  <c:v>349.88991187270506</c:v>
                </c:pt>
                <c:pt idx="36">
                  <c:v>313.81179654859216</c:v>
                </c:pt>
                <c:pt idx="37">
                  <c:v>333.98978934840818</c:v>
                </c:pt>
                <c:pt idx="38">
                  <c:v>347.18655172413798</c:v>
                </c:pt>
                <c:pt idx="39">
                  <c:v>327.7709163486939</c:v>
                </c:pt>
                <c:pt idx="40">
                  <c:v>297.43142070165271</c:v>
                </c:pt>
                <c:pt idx="41">
                  <c:v>247.44945496804183</c:v>
                </c:pt>
                <c:pt idx="42">
                  <c:v>278.45</c:v>
                </c:pt>
                <c:pt idx="43">
                  <c:v>308.78199999999998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077-429E-9C79-0DB8B9C6B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4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ZA"/>
              <a:t>Billions of US</a:t>
            </a:r>
            <a:r>
              <a:rPr lang="en-ZA" baseline="0"/>
              <a:t> Dollars </a:t>
            </a:r>
            <a:endParaRPr lang="en-ZA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'13. Exports, imports, BOT'!$S$3</c:f>
              <c:strCache>
                <c:ptCount val="1"/>
                <c:pt idx="0">
                  <c:v>Balance</c:v>
                </c:pt>
              </c:strCache>
            </c:strRef>
          </c:tx>
          <c:spPr>
            <a:ln w="63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'13. Exports, imports, BOT'!$O$4:$P$47</c:f>
              <c:multiLvlStrCache>
                <c:ptCount val="4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'13. Exports, imports, BOT'!$S$4:$S$47</c:f>
              <c:numCache>
                <c:formatCode>_ * #\ ##0.0_ ;_ * \-#\ ##0.0_ ;_ * "-"??_ ;_ @_ </c:formatCode>
                <c:ptCount val="44"/>
                <c:pt idx="0">
                  <c:v>-1.1435324324324334</c:v>
                </c:pt>
                <c:pt idx="1">
                  <c:v>0.45226315789473404</c:v>
                </c:pt>
                <c:pt idx="2">
                  <c:v>0.13687323943661767</c:v>
                </c:pt>
                <c:pt idx="3">
                  <c:v>2.2822352941176511</c:v>
                </c:pt>
                <c:pt idx="4">
                  <c:v>-0.62404347826086948</c:v>
                </c:pt>
                <c:pt idx="5">
                  <c:v>0.20491176470588002</c:v>
                </c:pt>
                <c:pt idx="6">
                  <c:v>-0.68344000000000094</c:v>
                </c:pt>
                <c:pt idx="7">
                  <c:v>-1.5722073170731647</c:v>
                </c:pt>
                <c:pt idx="8">
                  <c:v>-3.4862105263157908</c:v>
                </c:pt>
                <c:pt idx="9">
                  <c:v>-2.9200476190476223</c:v>
                </c:pt>
                <c:pt idx="10">
                  <c:v>-3.9364096385542169</c:v>
                </c:pt>
                <c:pt idx="11">
                  <c:v>-3.7599302325581405</c:v>
                </c:pt>
                <c:pt idx="12">
                  <c:v>-4.6260434782608648</c:v>
                </c:pt>
                <c:pt idx="13">
                  <c:v>-3.5126499999999972</c:v>
                </c:pt>
                <c:pt idx="14">
                  <c:v>-4.4383500000000069</c:v>
                </c:pt>
                <c:pt idx="15">
                  <c:v>-0.82115384615384812</c:v>
                </c:pt>
                <c:pt idx="16">
                  <c:v>-2.632327102803746</c:v>
                </c:pt>
                <c:pt idx="17">
                  <c:v>-1.8975981308411178</c:v>
                </c:pt>
                <c:pt idx="18">
                  <c:v>-3.1640727272727212</c:v>
                </c:pt>
                <c:pt idx="19">
                  <c:v>-1.7596434782608661</c:v>
                </c:pt>
                <c:pt idx="20">
                  <c:v>-2.7233388429752132</c:v>
                </c:pt>
                <c:pt idx="21">
                  <c:v>0.73008943089430645</c:v>
                </c:pt>
                <c:pt idx="22">
                  <c:v>-0.89229411764705802</c:v>
                </c:pt>
                <c:pt idx="23">
                  <c:v>-0.8407814569536427</c:v>
                </c:pt>
                <c:pt idx="24">
                  <c:v>-1.0594285714285689</c:v>
                </c:pt>
                <c:pt idx="25">
                  <c:v>2.037635761589403</c:v>
                </c:pt>
                <c:pt idx="26">
                  <c:v>0.24371428571427955</c:v>
                </c:pt>
                <c:pt idx="27">
                  <c:v>0.46326618705035472</c:v>
                </c:pt>
                <c:pt idx="28">
                  <c:v>0.37845558561691206</c:v>
                </c:pt>
                <c:pt idx="29">
                  <c:v>1.8944659199676863</c:v>
                </c:pt>
                <c:pt idx="30">
                  <c:v>1.5027985003784465</c:v>
                </c:pt>
                <c:pt idx="31">
                  <c:v>2.4276306626168918</c:v>
                </c:pt>
                <c:pt idx="32">
                  <c:v>-1.526823881745706</c:v>
                </c:pt>
                <c:pt idx="33">
                  <c:v>1.3468091844813941</c:v>
                </c:pt>
                <c:pt idx="34">
                  <c:v>3.7106936088093789E-2</c:v>
                </c:pt>
                <c:pt idx="35">
                  <c:v>1.1338008415147272</c:v>
                </c:pt>
                <c:pt idx="36">
                  <c:v>-0.29942897930050094</c:v>
                </c:pt>
                <c:pt idx="37">
                  <c:v>0.25801668211306605</c:v>
                </c:pt>
                <c:pt idx="38">
                  <c:v>0.40742506811988832</c:v>
                </c:pt>
                <c:pt idx="39">
                  <c:v>1.5789402173913025</c:v>
                </c:pt>
                <c:pt idx="40">
                  <c:v>2.2971316818774454</c:v>
                </c:pt>
                <c:pt idx="41">
                  <c:v>1.6922005571030638</c:v>
                </c:pt>
                <c:pt idx="42">
                  <c:v>5.7271062271062263</c:v>
                </c:pt>
                <c:pt idx="43">
                  <c:v>6.5945083014048578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F-45B6-8AFC-74D82D80F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'13. Exports, imports, BOT'!$Q$3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'13. Exports, imports, BOT'!$O$4:$P$47</c:f>
              <c:multiLvlStrCache>
                <c:ptCount val="4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'13. Exports, imports, BOT'!$Q$4:$Q$47</c:f>
              <c:numCache>
                <c:formatCode>_ * #\ ##0_ ;_ * \-#\ ##0_ ;_ * "-"??_ ;_ @_ </c:formatCode>
                <c:ptCount val="44"/>
                <c:pt idx="0">
                  <c:v>17.368493243243243</c:v>
                </c:pt>
                <c:pt idx="1">
                  <c:v>19.329657894736844</c:v>
                </c:pt>
                <c:pt idx="2">
                  <c:v>22.210422535211269</c:v>
                </c:pt>
                <c:pt idx="3">
                  <c:v>24.104808823529414</c:v>
                </c:pt>
                <c:pt idx="4">
                  <c:v>22.787347826086958</c:v>
                </c:pt>
                <c:pt idx="5">
                  <c:v>24.784764705882353</c:v>
                </c:pt>
                <c:pt idx="6">
                  <c:v>24.702706666666664</c:v>
                </c:pt>
                <c:pt idx="7">
                  <c:v>23.49143902439025</c:v>
                </c:pt>
                <c:pt idx="8">
                  <c:v>22.575210526315793</c:v>
                </c:pt>
                <c:pt idx="9">
                  <c:v>21.028845238095233</c:v>
                </c:pt>
                <c:pt idx="10">
                  <c:v>21.882674698795181</c:v>
                </c:pt>
                <c:pt idx="11">
                  <c:v>21.705302325581396</c:v>
                </c:pt>
                <c:pt idx="12">
                  <c:v>19.449445652173917</c:v>
                </c:pt>
                <c:pt idx="13">
                  <c:v>20.061730000000001</c:v>
                </c:pt>
                <c:pt idx="14">
                  <c:v>22.313239999999997</c:v>
                </c:pt>
                <c:pt idx="15">
                  <c:v>23.686711538461534</c:v>
                </c:pt>
                <c:pt idx="16">
                  <c:v>22.433644859813082</c:v>
                </c:pt>
                <c:pt idx="17">
                  <c:v>21.987308411214958</c:v>
                </c:pt>
                <c:pt idx="18">
                  <c:v>22.241336363636368</c:v>
                </c:pt>
                <c:pt idx="19">
                  <c:v>22.62778260869565</c:v>
                </c:pt>
                <c:pt idx="20">
                  <c:v>19.380842975206612</c:v>
                </c:pt>
                <c:pt idx="21">
                  <c:v>21.44473983739837</c:v>
                </c:pt>
                <c:pt idx="22">
                  <c:v>20.058169117647058</c:v>
                </c:pt>
                <c:pt idx="23">
                  <c:v>17.757463576158941</c:v>
                </c:pt>
                <c:pt idx="24">
                  <c:v>16.753220779220779</c:v>
                </c:pt>
                <c:pt idx="25">
                  <c:v>19.972973509933777</c:v>
                </c:pt>
                <c:pt idx="26">
                  <c:v>20.348414285714284</c:v>
                </c:pt>
                <c:pt idx="27">
                  <c:v>20.173302158273376</c:v>
                </c:pt>
                <c:pt idx="28">
                  <c:v>20.308081800456463</c:v>
                </c:pt>
                <c:pt idx="29">
                  <c:v>22.563238687444304</c:v>
                </c:pt>
                <c:pt idx="30">
                  <c:v>22.683079641447677</c:v>
                </c:pt>
                <c:pt idx="31">
                  <c:v>23.801163617526107</c:v>
                </c:pt>
                <c:pt idx="32">
                  <c:v>22.516149541153936</c:v>
                </c:pt>
                <c:pt idx="33">
                  <c:v>23.870316706254947</c:v>
                </c:pt>
                <c:pt idx="34">
                  <c:v>23.931845271881031</c:v>
                </c:pt>
                <c:pt idx="35">
                  <c:v>24.05694249649369</c:v>
                </c:pt>
                <c:pt idx="36">
                  <c:v>20.851034975017843</c:v>
                </c:pt>
                <c:pt idx="37">
                  <c:v>22.564017608897128</c:v>
                </c:pt>
                <c:pt idx="38">
                  <c:v>23.347820163487736</c:v>
                </c:pt>
                <c:pt idx="39">
                  <c:v>23.266711956521739</c:v>
                </c:pt>
                <c:pt idx="40">
                  <c:v>21.414797913950455</c:v>
                </c:pt>
                <c:pt idx="41">
                  <c:v>15.25699164345404</c:v>
                </c:pt>
                <c:pt idx="42">
                  <c:v>20.298011512297226</c:v>
                </c:pt>
                <c:pt idx="43">
                  <c:v>26.312388250319287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68F-45B6-8AFC-74D82D80FCD8}"/>
            </c:ext>
          </c:extLst>
        </c:ser>
        <c:ser>
          <c:idx val="1"/>
          <c:order val="1"/>
          <c:tx>
            <c:strRef>
              <c:f>'13. Exports, imports, BOT'!$R$3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</c:marker>
          <c:cat>
            <c:multiLvlStrRef>
              <c:f>'13. Exports, imports, BOT'!$O$4:$P$47</c:f>
              <c:multiLvlStrCache>
                <c:ptCount val="4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'13. Exports, imports, BOT'!$R$4:$R$47</c:f>
              <c:numCache>
                <c:formatCode>_ * #\ ##0_ ;_ * \-#\ ##0_ ;_ * "-"??_ ;_ @_ </c:formatCode>
                <c:ptCount val="44"/>
                <c:pt idx="0">
                  <c:v>18.512025675675677</c:v>
                </c:pt>
                <c:pt idx="1">
                  <c:v>18.87739473684211</c:v>
                </c:pt>
                <c:pt idx="2">
                  <c:v>22.073549295774651</c:v>
                </c:pt>
                <c:pt idx="3">
                  <c:v>21.822573529411763</c:v>
                </c:pt>
                <c:pt idx="4">
                  <c:v>23.411391304347827</c:v>
                </c:pt>
                <c:pt idx="5">
                  <c:v>24.579852941176473</c:v>
                </c:pt>
                <c:pt idx="6">
                  <c:v>25.386146666666665</c:v>
                </c:pt>
                <c:pt idx="7">
                  <c:v>25.063646341463414</c:v>
                </c:pt>
                <c:pt idx="8">
                  <c:v>26.061421052631584</c:v>
                </c:pt>
                <c:pt idx="9">
                  <c:v>23.948892857142855</c:v>
                </c:pt>
                <c:pt idx="10">
                  <c:v>25.819084337349398</c:v>
                </c:pt>
                <c:pt idx="11">
                  <c:v>25.465232558139537</c:v>
                </c:pt>
                <c:pt idx="12">
                  <c:v>24.075489130434782</c:v>
                </c:pt>
                <c:pt idx="13">
                  <c:v>23.574379999999998</c:v>
                </c:pt>
                <c:pt idx="14">
                  <c:v>26.751590000000004</c:v>
                </c:pt>
                <c:pt idx="15">
                  <c:v>24.507865384615382</c:v>
                </c:pt>
                <c:pt idx="16">
                  <c:v>25.065971962616828</c:v>
                </c:pt>
                <c:pt idx="17">
                  <c:v>23.884906542056076</c:v>
                </c:pt>
                <c:pt idx="18">
                  <c:v>25.405409090909089</c:v>
                </c:pt>
                <c:pt idx="19">
                  <c:v>24.387426086956516</c:v>
                </c:pt>
                <c:pt idx="20">
                  <c:v>22.104181818181825</c:v>
                </c:pt>
                <c:pt idx="21">
                  <c:v>20.714650406504063</c:v>
                </c:pt>
                <c:pt idx="22">
                  <c:v>20.950463235294116</c:v>
                </c:pt>
                <c:pt idx="23">
                  <c:v>18.598245033112583</c:v>
                </c:pt>
                <c:pt idx="24">
                  <c:v>17.812649350649348</c:v>
                </c:pt>
                <c:pt idx="25">
                  <c:v>17.935337748344374</c:v>
                </c:pt>
                <c:pt idx="26">
                  <c:v>20.104700000000005</c:v>
                </c:pt>
                <c:pt idx="27">
                  <c:v>19.710035971223022</c:v>
                </c:pt>
                <c:pt idx="28">
                  <c:v>19.929626214839551</c:v>
                </c:pt>
                <c:pt idx="29">
                  <c:v>20.668772767476618</c:v>
                </c:pt>
                <c:pt idx="30">
                  <c:v>21.18028114106923</c:v>
                </c:pt>
                <c:pt idx="31">
                  <c:v>21.373532954909216</c:v>
                </c:pt>
                <c:pt idx="32">
                  <c:v>24.042973422899642</c:v>
                </c:pt>
                <c:pt idx="33">
                  <c:v>22.523507521773553</c:v>
                </c:pt>
                <c:pt idx="34">
                  <c:v>23.894738335792937</c:v>
                </c:pt>
                <c:pt idx="35">
                  <c:v>22.923141654978963</c:v>
                </c:pt>
                <c:pt idx="36">
                  <c:v>21.150463954318344</c:v>
                </c:pt>
                <c:pt idx="37">
                  <c:v>22.306000926784062</c:v>
                </c:pt>
                <c:pt idx="38">
                  <c:v>22.940395095367847</c:v>
                </c:pt>
                <c:pt idx="39">
                  <c:v>21.687771739130437</c:v>
                </c:pt>
                <c:pt idx="40">
                  <c:v>19.11766623207301</c:v>
                </c:pt>
                <c:pt idx="41">
                  <c:v>13.564791086350976</c:v>
                </c:pt>
                <c:pt idx="42">
                  <c:v>14.570905285190999</c:v>
                </c:pt>
                <c:pt idx="43">
                  <c:v>19.71787994891443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68F-45B6-8AFC-74D82D80F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4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  <c:min val="-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Exports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1F497D">
                <a:lumMod val="50000"/>
              </a:srgb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0E48-4235-A8E3-B4291AD10B7F}"/>
              </c:ext>
            </c:extLst>
          </c:dPt>
          <c:dPt>
            <c:idx val="11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0E48-4235-A8E3-B4291AD10B7F}"/>
              </c:ext>
            </c:extLst>
          </c:dPt>
          <c:dPt>
            <c:idx val="12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0E48-4235-A8E3-B4291AD10B7F}"/>
              </c:ext>
            </c:extLst>
          </c:dPt>
          <c:dPt>
            <c:idx val="13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0E48-4235-A8E3-B4291AD10B7F}"/>
              </c:ext>
            </c:extLst>
          </c:dPt>
          <c:dPt>
            <c:idx val="14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0E48-4235-A8E3-B4291AD10B7F}"/>
              </c:ext>
            </c:extLst>
          </c:dPt>
          <c:dPt>
            <c:idx val="15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0E48-4235-A8E3-B4291AD10B7F}"/>
              </c:ext>
            </c:extLst>
          </c:dPt>
          <c:dPt>
            <c:idx val="16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0E48-4235-A8E3-B4291AD10B7F}"/>
              </c:ext>
            </c:extLst>
          </c:dPt>
          <c:dPt>
            <c:idx val="17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0E48-4235-A8E3-B4291AD10B7F}"/>
              </c:ext>
            </c:extLst>
          </c:dPt>
          <c:dPt>
            <c:idx val="18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1-0E48-4235-A8E3-B4291AD10B7F}"/>
              </c:ext>
            </c:extLst>
          </c:dPt>
          <c:dPt>
            <c:idx val="20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0E48-4235-A8E3-B4291AD10B7F}"/>
              </c:ext>
            </c:extLst>
          </c:dPt>
          <c:dPt>
            <c:idx val="21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5-0E48-4235-A8E3-B4291AD10B7F}"/>
              </c:ext>
            </c:extLst>
          </c:dPt>
          <c:dPt>
            <c:idx val="22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7-0E48-4235-A8E3-B4291AD10B7F}"/>
              </c:ext>
            </c:extLst>
          </c:dPt>
          <c:dPt>
            <c:idx val="23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9-0E48-4235-A8E3-B4291AD10B7F}"/>
              </c:ext>
            </c:extLst>
          </c:dPt>
          <c:dPt>
            <c:idx val="24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B-0E48-4235-A8E3-B4291AD10B7F}"/>
              </c:ext>
            </c:extLst>
          </c:dPt>
          <c:dPt>
            <c:idx val="25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D-0E48-4235-A8E3-B4291AD10B7F}"/>
              </c:ext>
            </c:extLst>
          </c:dPt>
          <c:dPt>
            <c:idx val="26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F-0E48-4235-A8E3-B4291AD10B7F}"/>
              </c:ext>
            </c:extLst>
          </c:dPt>
          <c:dPt>
            <c:idx val="27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1-0E48-4235-A8E3-B4291AD10B7F}"/>
              </c:ext>
            </c:extLst>
          </c:dPt>
          <c:dPt>
            <c:idx val="28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3-0E48-4235-A8E3-B4291AD10B7F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E48-4235-A8E3-B4291AD10B7F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E48-4235-A8E3-B4291AD10B7F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E48-4235-A8E3-B4291AD10B7F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E48-4235-A8E3-B4291AD10B7F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E48-4235-A8E3-B4291AD10B7F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E48-4235-A8E3-B4291AD10B7F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E48-4235-A8E3-B4291AD10B7F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E48-4235-A8E3-B4291AD10B7F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E48-4235-A8E3-B4291AD10B7F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E48-4235-A8E3-B4291AD10B7F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E48-4235-A8E3-B4291AD10B7F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E48-4235-A8E3-B4291AD10B7F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0E48-4235-A8E3-B4291AD10B7F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0E48-4235-A8E3-B4291AD10B7F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0E48-4235-A8E3-B4291AD10B7F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0E48-4235-A8E3-B4291AD10B7F}"/>
                </c:ext>
              </c:extLst>
            </c:dLbl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0E48-4235-A8E3-B4291AD10B7F}"/>
                </c:ext>
              </c:extLst>
            </c:dLbl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0E48-4235-A8E3-B4291AD10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'14. Exports &amp; imports by sector'!$A$6:$C$34</c:f>
              <c:multiLvlStrCache>
                <c:ptCount val="29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 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 </c:v>
                  </c:pt>
                  <c:pt idx="20">
                    <c:v>Q4</c:v>
                  </c:pt>
                  <c:pt idx="21">
                    <c:v>Q1</c:v>
                  </c:pt>
                  <c:pt idx="22">
                    <c:v>Q2</c:v>
                  </c:pt>
                  <c:pt idx="23">
                    <c:v>Q3</c:v>
                  </c:pt>
                  <c:pt idx="24">
                    <c:v>Q4</c:v>
                  </c:pt>
                  <c:pt idx="25">
                    <c:v>Q1</c:v>
                  </c:pt>
                  <c:pt idx="26">
                    <c:v>Q2</c:v>
                  </c:pt>
                  <c:pt idx="27">
                    <c:v>Q3</c:v>
                  </c:pt>
                  <c:pt idx="28">
                    <c:v>Q4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 </c:v>
                  </c:pt>
                  <c:pt idx="10">
                    <c:v>2018</c:v>
                  </c:pt>
                  <c:pt idx="11">
                    <c:v>2019</c:v>
                  </c:pt>
                  <c:pt idx="15">
                    <c:v>2020</c:v>
                  </c:pt>
                  <c:pt idx="19">
                    <c:v> </c:v>
                  </c:pt>
                  <c:pt idx="20">
                    <c:v>2018</c:v>
                  </c:pt>
                  <c:pt idx="21">
                    <c:v>2019</c:v>
                  </c:pt>
                  <c:pt idx="25">
                    <c:v>2020</c:v>
                  </c:pt>
                </c:lvl>
                <c:lvl>
                  <c:pt idx="0">
                    <c:v>Agriculture</c:v>
                  </c:pt>
                  <c:pt idx="9">
                    <c:v> </c:v>
                  </c:pt>
                  <c:pt idx="10">
                    <c:v>Mining</c:v>
                  </c:pt>
                  <c:pt idx="19">
                    <c:v> </c:v>
                  </c:pt>
                  <c:pt idx="20">
                    <c:v>Manufacturing</c:v>
                  </c:pt>
                </c:lvl>
              </c:multiLvlStrCache>
            </c:multiLvlStrRef>
          </c:cat>
          <c:val>
            <c:numRef>
              <c:f>'14. Exports &amp; imports by sector'!$D$6:$D$34</c:f>
              <c:numCache>
                <c:formatCode>_-* #\ ##0_-;\-* #\ ##0_-;_-* "-"??_-;_-@_-</c:formatCode>
                <c:ptCount val="29"/>
                <c:pt idx="0">
                  <c:v>17.818285373317018</c:v>
                </c:pt>
                <c:pt idx="1">
                  <c:v>18.56449918256131</c:v>
                </c:pt>
                <c:pt idx="2">
                  <c:v>21.422934305266292</c:v>
                </c:pt>
                <c:pt idx="3">
                  <c:v>29.455778603006198</c:v>
                </c:pt>
                <c:pt idx="4">
                  <c:v>17.558070854123866</c:v>
                </c:pt>
                <c:pt idx="5">
                  <c:v>22.374623832995077</c:v>
                </c:pt>
                <c:pt idx="6">
                  <c:v>29.549461708309117</c:v>
                </c:pt>
                <c:pt idx="7">
                  <c:v>35.2577</c:v>
                </c:pt>
                <c:pt idx="8">
                  <c:v>19.664900000000003</c:v>
                </c:pt>
                <c:pt idx="10">
                  <c:v>154.79698971848225</c:v>
                </c:pt>
                <c:pt idx="11">
                  <c:v>131.97414950045413</c:v>
                </c:pt>
                <c:pt idx="12">
                  <c:v>140.01294001785183</c:v>
                </c:pt>
                <c:pt idx="13">
                  <c:v>139.83546242263489</c:v>
                </c:pt>
                <c:pt idx="14">
                  <c:v>157.65096877017905</c:v>
                </c:pt>
                <c:pt idx="15">
                  <c:v>153.33501762829809</c:v>
                </c:pt>
                <c:pt idx="16">
                  <c:v>132.48466664729807</c:v>
                </c:pt>
                <c:pt idx="17">
                  <c:v>178.37290000000002</c:v>
                </c:pt>
                <c:pt idx="18">
                  <c:v>197.61829999999998</c:v>
                </c:pt>
                <c:pt idx="20">
                  <c:v>194.10977864137087</c:v>
                </c:pt>
                <c:pt idx="21">
                  <c:v>158.50112606721163</c:v>
                </c:pt>
                <c:pt idx="22">
                  <c:v>176.41701422195774</c:v>
                </c:pt>
                <c:pt idx="23">
                  <c:v>183.87830309460659</c:v>
                </c:pt>
                <c:pt idx="24">
                  <c:v>175.96264455532727</c:v>
                </c:pt>
                <c:pt idx="25">
                  <c:v>157.0857580168165</c:v>
                </c:pt>
                <c:pt idx="26">
                  <c:v>115.38206862289367</c:v>
                </c:pt>
                <c:pt idx="27">
                  <c:v>174.26429999999996</c:v>
                </c:pt>
                <c:pt idx="28">
                  <c:v>194.7689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E48-4235-A8E3-B4291AD10B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7"/>
        <c:overlap val="100"/>
        <c:axId val="100906496"/>
        <c:axId val="100908032"/>
      </c:barChart>
      <c:catAx>
        <c:axId val="1009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8032"/>
        <c:crosses val="autoZero"/>
        <c:auto val="1"/>
        <c:lblAlgn val="ctr"/>
        <c:lblOffset val="100"/>
        <c:noMultiLvlLbl val="0"/>
      </c:catAx>
      <c:valAx>
        <c:axId val="100908032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billions of constant (2020) rand</a:t>
                </a:r>
              </a:p>
            </c:rich>
          </c:tx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Imports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0B33-4645-9B40-4B8DAE3E55E4}"/>
              </c:ext>
            </c:extLst>
          </c:dPt>
          <c:dPt>
            <c:idx val="1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0B33-4645-9B40-4B8DAE3E55E4}"/>
              </c:ext>
            </c:extLst>
          </c:dPt>
          <c:dPt>
            <c:idx val="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0B33-4645-9B40-4B8DAE3E55E4}"/>
              </c:ext>
            </c:extLst>
          </c:dPt>
          <c:dPt>
            <c:idx val="3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0B33-4645-9B40-4B8DAE3E55E4}"/>
              </c:ext>
            </c:extLst>
          </c:dPt>
          <c:dPt>
            <c:idx val="4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0B33-4645-9B40-4B8DAE3E55E4}"/>
              </c:ext>
            </c:extLst>
          </c:dPt>
          <c:dPt>
            <c:idx val="5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0B33-4645-9B40-4B8DAE3E55E4}"/>
              </c:ext>
            </c:extLst>
          </c:dPt>
          <c:dPt>
            <c:idx val="6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0B33-4645-9B40-4B8DAE3E55E4}"/>
              </c:ext>
            </c:extLst>
          </c:dPt>
          <c:dPt>
            <c:idx val="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0B33-4645-9B40-4B8DAE3E55E4}"/>
              </c:ext>
            </c:extLst>
          </c:dPt>
          <c:dPt>
            <c:idx val="8"/>
            <c:invertIfNegative val="0"/>
            <c:bubble3D val="0"/>
            <c:spPr>
              <a:solidFill>
                <a:srgbClr val="44546A">
                  <a:lumMod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1-0B33-4645-9B40-4B8DAE3E55E4}"/>
              </c:ext>
            </c:extLst>
          </c:dPt>
          <c:dPt>
            <c:idx val="20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0B33-4645-9B40-4B8DAE3E55E4}"/>
              </c:ext>
            </c:extLst>
          </c:dPt>
          <c:dPt>
            <c:idx val="21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5-0B33-4645-9B40-4B8DAE3E55E4}"/>
              </c:ext>
            </c:extLst>
          </c:dPt>
          <c:dPt>
            <c:idx val="22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7-0B33-4645-9B40-4B8DAE3E55E4}"/>
              </c:ext>
            </c:extLst>
          </c:dPt>
          <c:dPt>
            <c:idx val="23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9-0B33-4645-9B40-4B8DAE3E55E4}"/>
              </c:ext>
            </c:extLst>
          </c:dPt>
          <c:dPt>
            <c:idx val="24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B-0B33-4645-9B40-4B8DAE3E55E4}"/>
              </c:ext>
            </c:extLst>
          </c:dPt>
          <c:dPt>
            <c:idx val="25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D-0B33-4645-9B40-4B8DAE3E55E4}"/>
              </c:ext>
            </c:extLst>
          </c:dPt>
          <c:dPt>
            <c:idx val="26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F-0B33-4645-9B40-4B8DAE3E55E4}"/>
              </c:ext>
            </c:extLst>
          </c:dPt>
          <c:dPt>
            <c:idx val="27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1-0B33-4645-9B40-4B8DAE3E55E4}"/>
              </c:ext>
            </c:extLst>
          </c:dPt>
          <c:dPt>
            <c:idx val="28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3-0B33-4645-9B40-4B8DAE3E55E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33-4645-9B40-4B8DAE3E55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33-4645-9B40-4B8DAE3E55E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33-4645-9B40-4B8DAE3E55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33-4645-9B40-4B8DAE3E55E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33-4645-9B40-4B8DAE3E55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33-4645-9B40-4B8DAE3E55E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33-4645-9B40-4B8DAE3E55E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B33-4645-9B40-4B8DAE3E55E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B33-4645-9B40-4B8DAE3E55E4}"/>
                </c:ext>
              </c:extLst>
            </c:dLbl>
            <c:dLbl>
              <c:idx val="2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B33-4645-9B40-4B8DAE3E55E4}"/>
                </c:ext>
              </c:extLst>
            </c:dLbl>
            <c:dLbl>
              <c:idx val="21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B33-4645-9B40-4B8DAE3E55E4}"/>
                </c:ext>
              </c:extLst>
            </c:dLbl>
            <c:dLbl>
              <c:idx val="22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B33-4645-9B40-4B8DAE3E55E4}"/>
                </c:ext>
              </c:extLst>
            </c:dLbl>
            <c:dLbl>
              <c:idx val="2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0B33-4645-9B40-4B8DAE3E55E4}"/>
                </c:ext>
              </c:extLst>
            </c:dLbl>
            <c:dLbl>
              <c:idx val="2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0B33-4645-9B40-4B8DAE3E55E4}"/>
                </c:ext>
              </c:extLst>
            </c:dLbl>
            <c:dLbl>
              <c:idx val="2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0B33-4645-9B40-4B8DAE3E55E4}"/>
                </c:ext>
              </c:extLst>
            </c:dLbl>
            <c:dLbl>
              <c:idx val="26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0B33-4645-9B40-4B8DAE3E55E4}"/>
                </c:ext>
              </c:extLst>
            </c:dLbl>
            <c:dLbl>
              <c:idx val="27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0B33-4645-9B40-4B8DAE3E55E4}"/>
                </c:ext>
              </c:extLst>
            </c:dLbl>
            <c:dLbl>
              <c:idx val="28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5400000" vert="horz"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0B33-4645-9B40-4B8DAE3E55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'14. Exports &amp; imports by sector'!$A$37:$C$65</c:f>
              <c:multiLvlStrCache>
                <c:ptCount val="29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 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 </c:v>
                  </c:pt>
                  <c:pt idx="20">
                    <c:v>Q4</c:v>
                  </c:pt>
                  <c:pt idx="21">
                    <c:v>Q1</c:v>
                  </c:pt>
                  <c:pt idx="22">
                    <c:v>Q2</c:v>
                  </c:pt>
                  <c:pt idx="23">
                    <c:v>Q3</c:v>
                  </c:pt>
                  <c:pt idx="24">
                    <c:v>Q4</c:v>
                  </c:pt>
                  <c:pt idx="25">
                    <c:v>Q1</c:v>
                  </c:pt>
                  <c:pt idx="26">
                    <c:v>Q2</c:v>
                  </c:pt>
                  <c:pt idx="27">
                    <c:v>Q3</c:v>
                  </c:pt>
                  <c:pt idx="28">
                    <c:v>Q4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 </c:v>
                  </c:pt>
                  <c:pt idx="10">
                    <c:v>2018</c:v>
                  </c:pt>
                  <c:pt idx="11">
                    <c:v>2019</c:v>
                  </c:pt>
                  <c:pt idx="15">
                    <c:v>2020</c:v>
                  </c:pt>
                  <c:pt idx="19">
                    <c:v> </c:v>
                  </c:pt>
                  <c:pt idx="20">
                    <c:v>2018</c:v>
                  </c:pt>
                  <c:pt idx="21">
                    <c:v>2019</c:v>
                  </c:pt>
                  <c:pt idx="25">
                    <c:v>2020</c:v>
                  </c:pt>
                </c:lvl>
                <c:lvl>
                  <c:pt idx="0">
                    <c:v>Agriculture</c:v>
                  </c:pt>
                  <c:pt idx="9">
                    <c:v> </c:v>
                  </c:pt>
                  <c:pt idx="10">
                    <c:v>Extractives (mostly petrol)</c:v>
                  </c:pt>
                  <c:pt idx="19">
                    <c:v> </c:v>
                  </c:pt>
                  <c:pt idx="20">
                    <c:v>Manufacturing</c:v>
                  </c:pt>
                </c:lvl>
              </c:multiLvlStrCache>
            </c:multiLvlStrRef>
          </c:cat>
          <c:val>
            <c:numRef>
              <c:f>'14. Exports &amp; imports by sector'!$D$37:$D$65</c:f>
              <c:numCache>
                <c:formatCode>_-* #\ ##0_-;\-* #\ ##0_-;_-* "-"??_-;_-@_-</c:formatCode>
                <c:ptCount val="29"/>
                <c:pt idx="0" formatCode="_ * #\ ##0_ ;_ * \-#\ ##0_ ;_ * &quot;-&quot;??_ ;_ @_ ">
                  <c:v>11.318513280293757</c:v>
                </c:pt>
                <c:pt idx="1">
                  <c:v>10.49558855585831</c:v>
                </c:pt>
                <c:pt idx="2">
                  <c:v>11.740416185659031</c:v>
                </c:pt>
                <c:pt idx="3" formatCode="_ * #\ ##0_ ;_ * \-#\ ##0_ ;_ * &quot;-&quot;??_ ;_ @_ ">
                  <c:v>13.77374871794872</c:v>
                </c:pt>
                <c:pt idx="4" formatCode="_ * #\ ##0_ ;_ * \-#\ ##0_ ;_ * &quot;-&quot;??_ ;_ @_ ">
                  <c:v>10.959715526856472</c:v>
                </c:pt>
                <c:pt idx="5">
                  <c:v>11.204959118585098</c:v>
                </c:pt>
                <c:pt idx="6">
                  <c:v>12.523388785589772</c:v>
                </c:pt>
                <c:pt idx="7" formatCode="_ * #\ ##0_ ;_ * \-#\ ##0_ ;_ * &quot;-&quot;??_ ;_ @_ ">
                  <c:v>13.309299999999999</c:v>
                </c:pt>
                <c:pt idx="8">
                  <c:v>11.3504</c:v>
                </c:pt>
                <c:pt idx="10">
                  <c:v>72.376595654834759</c:v>
                </c:pt>
                <c:pt idx="11">
                  <c:v>58.406962761126245</c:v>
                </c:pt>
                <c:pt idx="12">
                  <c:v>67.960488664088075</c:v>
                </c:pt>
                <c:pt idx="13">
                  <c:v>53.086608841732989</c:v>
                </c:pt>
                <c:pt idx="14">
                  <c:v>66.558202700322866</c:v>
                </c:pt>
                <c:pt idx="15">
                  <c:v>58.78840829225863</c:v>
                </c:pt>
                <c:pt idx="16">
                  <c:v>35.599314700755372</c:v>
                </c:pt>
                <c:pt idx="17">
                  <c:v>43.170400000000008</c:v>
                </c:pt>
                <c:pt idx="18">
                  <c:v>41.867400000000004</c:v>
                </c:pt>
                <c:pt idx="20">
                  <c:v>266.22905507955937</c:v>
                </c:pt>
                <c:pt idx="21">
                  <c:v>244.89590136239784</c:v>
                </c:pt>
                <c:pt idx="22">
                  <c:v>254.28919672716455</c:v>
                </c:pt>
                <c:pt idx="23">
                  <c:v>280.79372820512833</c:v>
                </c:pt>
                <c:pt idx="24">
                  <c:v>250.76809838567652</c:v>
                </c:pt>
                <c:pt idx="25">
                  <c:v>227.37791081472898</c:v>
                </c:pt>
                <c:pt idx="26">
                  <c:v>199.33803207437538</c:v>
                </c:pt>
                <c:pt idx="27">
                  <c:v>222.02030000000002</c:v>
                </c:pt>
                <c:pt idx="28">
                  <c:v>255.5641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B33-4645-9B40-4B8DAE3E55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7"/>
        <c:overlap val="100"/>
        <c:axId val="100906496"/>
        <c:axId val="100908032"/>
      </c:barChart>
      <c:catAx>
        <c:axId val="1009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8032"/>
        <c:crosses val="autoZero"/>
        <c:auto val="1"/>
        <c:lblAlgn val="ctr"/>
        <c:lblOffset val="100"/>
        <c:noMultiLvlLbl val="0"/>
      </c:catAx>
      <c:valAx>
        <c:axId val="1009080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billions of constant (2020) rand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6496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 Manufacturing trade'!$B$5</c:f>
              <c:strCache>
                <c:ptCount val="1"/>
                <c:pt idx="0">
                  <c:v>First quarter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Manufacturing trade'!$A$6:$A$14</c:f>
              <c:strCache>
                <c:ptCount val="9"/>
                <c:pt idx="0">
                  <c:v>Food, beverages, tobacco</c:v>
                </c:pt>
                <c:pt idx="1">
                  <c:v>Clothing and 
textiles</c:v>
                </c:pt>
                <c:pt idx="2">
                  <c:v>Wood and wood products</c:v>
                </c:pt>
                <c:pt idx="3">
                  <c:v>Paper and 
publishing</c:v>
                </c:pt>
                <c:pt idx="4">
                  <c:v>Chemicals, rubber, plastic</c:v>
                </c:pt>
                <c:pt idx="5">
                  <c:v>Glass and non-metallic mineral products</c:v>
                </c:pt>
                <c:pt idx="6">
                  <c:v>Metal products</c:v>
                </c:pt>
                <c:pt idx="7">
                  <c:v>Machinery and appliances</c:v>
                </c:pt>
                <c:pt idx="8">
                  <c:v>Transport 
equipment</c:v>
                </c:pt>
              </c:strCache>
            </c:strRef>
          </c:cat>
          <c:val>
            <c:numRef>
              <c:f>'15. Manufacturing trade'!$B$6:$B$14</c:f>
              <c:numCache>
                <c:formatCode>_-* #\ ##0_-;\-* #\ ##0_-;_-* "-"??_-;_-@_-</c:formatCode>
                <c:ptCount val="9"/>
                <c:pt idx="0">
                  <c:v>13.3288718469122</c:v>
                </c:pt>
                <c:pt idx="1">
                  <c:v>6.2972412293418403</c:v>
                </c:pt>
                <c:pt idx="2">
                  <c:v>1.8649169324441901</c:v>
                </c:pt>
                <c:pt idx="3">
                  <c:v>6.22641127863149</c:v>
                </c:pt>
                <c:pt idx="4">
                  <c:v>27.384591475790099</c:v>
                </c:pt>
                <c:pt idx="5">
                  <c:v>1.5968841693244402</c:v>
                </c:pt>
                <c:pt idx="6">
                  <c:v>32.499227312264402</c:v>
                </c:pt>
                <c:pt idx="7">
                  <c:v>26.633386343867802</c:v>
                </c:pt>
                <c:pt idx="8">
                  <c:v>39.098234705711803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F-47A7-A227-F71F92AB50C3}"/>
            </c:ext>
          </c:extLst>
        </c:ser>
        <c:ser>
          <c:idx val="1"/>
          <c:order val="1"/>
          <c:tx>
            <c:strRef>
              <c:f>'15. Manufacturing trade'!$C$5</c:f>
              <c:strCache>
                <c:ptCount val="1"/>
                <c:pt idx="0">
                  <c:v>Second quarter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Manufacturing trade'!$A$6:$A$14</c:f>
              <c:strCache>
                <c:ptCount val="9"/>
                <c:pt idx="0">
                  <c:v>Food, beverages, tobacco</c:v>
                </c:pt>
                <c:pt idx="1">
                  <c:v>Clothing and 
textiles</c:v>
                </c:pt>
                <c:pt idx="2">
                  <c:v>Wood and wood products</c:v>
                </c:pt>
                <c:pt idx="3">
                  <c:v>Paper and 
publishing</c:v>
                </c:pt>
                <c:pt idx="4">
                  <c:v>Chemicals, rubber, plastic</c:v>
                </c:pt>
                <c:pt idx="5">
                  <c:v>Glass and non-metallic mineral products</c:v>
                </c:pt>
                <c:pt idx="6">
                  <c:v>Metal products</c:v>
                </c:pt>
                <c:pt idx="7">
                  <c:v>Machinery and appliances</c:v>
                </c:pt>
                <c:pt idx="8">
                  <c:v>Transport 
equipment</c:v>
                </c:pt>
              </c:strCache>
            </c:strRef>
          </c:cat>
          <c:val>
            <c:numRef>
              <c:f>'15. Manufacturing trade'!$C$6:$C$14</c:f>
              <c:numCache>
                <c:formatCode>_-* #\ ##0_-;\-* #\ ##0_-;_-* "-"??_-;_-@_-</c:formatCode>
                <c:ptCount val="9"/>
                <c:pt idx="0">
                  <c:v>14.2889549680418</c:v>
                </c:pt>
                <c:pt idx="1">
                  <c:v>3.7905220801859398</c:v>
                </c:pt>
                <c:pt idx="2">
                  <c:v>1.3945624636839</c:v>
                </c:pt>
                <c:pt idx="3">
                  <c:v>5.0301671993027304</c:v>
                </c:pt>
                <c:pt idx="4">
                  <c:v>25.817889453805901</c:v>
                </c:pt>
                <c:pt idx="5">
                  <c:v>0.95942547937245792</c:v>
                </c:pt>
                <c:pt idx="6">
                  <c:v>26.586553166763501</c:v>
                </c:pt>
                <c:pt idx="7">
                  <c:v>18.852123474724003</c:v>
                </c:pt>
                <c:pt idx="8">
                  <c:v>17.156100232423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F-47A7-A227-F71F92AB50C3}"/>
            </c:ext>
          </c:extLst>
        </c:ser>
        <c:ser>
          <c:idx val="2"/>
          <c:order val="2"/>
          <c:tx>
            <c:strRef>
              <c:f>'15. Manufacturing trade'!$D$5</c:f>
              <c:strCache>
                <c:ptCount val="1"/>
                <c:pt idx="0">
                  <c:v>Third quarter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'15. Manufacturing trade'!$A$6:$A$14</c:f>
              <c:strCache>
                <c:ptCount val="9"/>
                <c:pt idx="0">
                  <c:v>Food, beverages, tobacco</c:v>
                </c:pt>
                <c:pt idx="1">
                  <c:v>Clothing and 
textiles</c:v>
                </c:pt>
                <c:pt idx="2">
                  <c:v>Wood and wood products</c:v>
                </c:pt>
                <c:pt idx="3">
                  <c:v>Paper and 
publishing</c:v>
                </c:pt>
                <c:pt idx="4">
                  <c:v>Chemicals, rubber, plastic</c:v>
                </c:pt>
                <c:pt idx="5">
                  <c:v>Glass and non-metallic mineral products</c:v>
                </c:pt>
                <c:pt idx="6">
                  <c:v>Metal products</c:v>
                </c:pt>
                <c:pt idx="7">
                  <c:v>Machinery and appliances</c:v>
                </c:pt>
                <c:pt idx="8">
                  <c:v>Transport 
equipment</c:v>
                </c:pt>
              </c:strCache>
            </c:strRef>
          </c:cat>
          <c:val>
            <c:numRef>
              <c:f>'15. Manufacturing trade'!$D$6:$D$14</c:f>
              <c:numCache>
                <c:formatCode>_-* #\ ##0_-;\-* #\ ##0_-;_-* "-"??_-;_-@_-</c:formatCode>
                <c:ptCount val="9"/>
                <c:pt idx="0">
                  <c:v>18.815600057175498</c:v>
                </c:pt>
                <c:pt idx="1">
                  <c:v>6.2436971126357905</c:v>
                </c:pt>
                <c:pt idx="2">
                  <c:v>1.8650200114351101</c:v>
                </c:pt>
                <c:pt idx="3">
                  <c:v>4.8906532304173798</c:v>
                </c:pt>
                <c:pt idx="4">
                  <c:v>31.663236563750701</c:v>
                </c:pt>
                <c:pt idx="5">
                  <c:v>1.7807122641509401</c:v>
                </c:pt>
                <c:pt idx="6">
                  <c:v>31.628066466552301</c:v>
                </c:pt>
                <c:pt idx="7">
                  <c:v>34.050984705546</c:v>
                </c:pt>
                <c:pt idx="8">
                  <c:v>40.715215694682598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F-47A7-A227-F71F92AB50C3}"/>
            </c:ext>
          </c:extLst>
        </c:ser>
        <c:ser>
          <c:idx val="3"/>
          <c:order val="3"/>
          <c:tx>
            <c:strRef>
              <c:f>'15. Manufacturing trade'!$E$5</c:f>
              <c:strCache>
                <c:ptCount val="1"/>
                <c:pt idx="0">
                  <c:v>Fourth quarter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'15. Manufacturing trade'!$A$6:$A$14</c:f>
              <c:strCache>
                <c:ptCount val="9"/>
                <c:pt idx="0">
                  <c:v>Food, beverages, tobacco</c:v>
                </c:pt>
                <c:pt idx="1">
                  <c:v>Clothing and 
textiles</c:v>
                </c:pt>
                <c:pt idx="2">
                  <c:v>Wood and wood products</c:v>
                </c:pt>
                <c:pt idx="3">
                  <c:v>Paper and 
publishing</c:v>
                </c:pt>
                <c:pt idx="4">
                  <c:v>Chemicals, rubber, plastic</c:v>
                </c:pt>
                <c:pt idx="5">
                  <c:v>Glass and non-metallic mineral products</c:v>
                </c:pt>
                <c:pt idx="6">
                  <c:v>Metal products</c:v>
                </c:pt>
                <c:pt idx="7">
                  <c:v>Machinery and appliances</c:v>
                </c:pt>
                <c:pt idx="8">
                  <c:v>Transport 
equipment</c:v>
                </c:pt>
              </c:strCache>
            </c:strRef>
          </c:cat>
          <c:val>
            <c:numRef>
              <c:f>'15. Manufacturing trade'!$E$6:$E$14</c:f>
              <c:numCache>
                <c:formatCode>_-* #\ ##0_-;\-* #\ ##0_-;_-* "-"??_-;_-@_-</c:formatCode>
                <c:ptCount val="9"/>
                <c:pt idx="0">
                  <c:v>17.3843</c:v>
                </c:pt>
                <c:pt idx="1">
                  <c:v>7.3316000000000008</c:v>
                </c:pt>
                <c:pt idx="2">
                  <c:v>1.9265999999999999</c:v>
                </c:pt>
                <c:pt idx="3">
                  <c:v>5.0788000000000002</c:v>
                </c:pt>
                <c:pt idx="4">
                  <c:v>33.194800000000001</c:v>
                </c:pt>
                <c:pt idx="5">
                  <c:v>1.8925999999999998</c:v>
                </c:pt>
                <c:pt idx="6">
                  <c:v>37.056400000000004</c:v>
                </c:pt>
                <c:pt idx="7">
                  <c:v>35.996400000000001</c:v>
                </c:pt>
                <c:pt idx="8">
                  <c:v>50.091900000000003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F-47A7-A227-F71F92AB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lineChart>
        <c:grouping val="standard"/>
        <c:varyColors val="0"/>
        <c:ser>
          <c:idx val="4"/>
          <c:order val="4"/>
          <c:tx>
            <c:strRef>
              <c:f>'15. Manufacturing trade'!$F$5</c:f>
              <c:strCache>
                <c:ptCount val="1"/>
                <c:pt idx="0">
                  <c:v>% recovery from Q2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2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'15. Manufacturing trade'!$A$6:$A$14</c:f>
              <c:strCache>
                <c:ptCount val="9"/>
                <c:pt idx="0">
                  <c:v>Food, beverages, tobacco</c:v>
                </c:pt>
                <c:pt idx="1">
                  <c:v>Clothing and 
textiles</c:v>
                </c:pt>
                <c:pt idx="2">
                  <c:v>Wood and wood products</c:v>
                </c:pt>
                <c:pt idx="3">
                  <c:v>Paper and 
publishing</c:v>
                </c:pt>
                <c:pt idx="4">
                  <c:v>Chemicals, rubber, plastic</c:v>
                </c:pt>
                <c:pt idx="5">
                  <c:v>Glass and non-metallic mineral products</c:v>
                </c:pt>
                <c:pt idx="6">
                  <c:v>Metal products</c:v>
                </c:pt>
                <c:pt idx="7">
                  <c:v>Machinery and appliances</c:v>
                </c:pt>
                <c:pt idx="8">
                  <c:v>Transport 
equipment</c:v>
                </c:pt>
              </c:strCache>
            </c:strRef>
          </c:cat>
          <c:val>
            <c:numRef>
              <c:f>'15. Manufacturing trade'!$F$6:$F$14</c:f>
              <c:numCache>
                <c:formatCode>0%</c:formatCode>
                <c:ptCount val="9"/>
                <c:pt idx="0">
                  <c:v>0.21662501133785805</c:v>
                </c:pt>
                <c:pt idx="1">
                  <c:v>0.93419266394046629</c:v>
                </c:pt>
                <c:pt idx="2">
                  <c:v>0.38150857359996659</c:v>
                </c:pt>
                <c:pt idx="3">
                  <c:v>9.6682274704529281E-3</c:v>
                </c:pt>
                <c:pt idx="4">
                  <c:v>0.28572864406260146</c:v>
                </c:pt>
                <c:pt idx="5">
                  <c:v>0.97263887679730354</c:v>
                </c:pt>
                <c:pt idx="6">
                  <c:v>0.39380233938429865</c:v>
                </c:pt>
                <c:pt idx="7">
                  <c:v>0.90940824508508022</c:v>
                </c:pt>
                <c:pt idx="8">
                  <c:v>1.91977193659269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0F-47A7-A227-F71F92AB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231407"/>
        <c:axId val="950236399"/>
      </c:line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billions of constant (2020) rand</a:t>
                </a:r>
              </a:p>
            </c:rich>
          </c:tx>
          <c:overlay val="0"/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valAx>
        <c:axId val="950236399"/>
        <c:scaling>
          <c:orientation val="minMax"/>
          <c:max val="3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% change from Q2 to Q4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950231407"/>
        <c:crosses val="max"/>
        <c:crossBetween val="between"/>
      </c:valAx>
      <c:catAx>
        <c:axId val="950231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0236399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GDP growth by sector'!$B$5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'2. GDP growth by sector'!$A$6:$A$14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Construction 
and utilities</c:v>
                </c:pt>
                <c:pt idx="4">
                  <c:v>Trade</c:v>
                </c:pt>
                <c:pt idx="5">
                  <c:v>Transport &amp; 
telecomms</c:v>
                </c:pt>
                <c:pt idx="6">
                  <c:v>Business 
services</c:v>
                </c:pt>
                <c:pt idx="7">
                  <c:v>Government  
services</c:v>
                </c:pt>
                <c:pt idx="8">
                  <c:v>Personal 
services</c:v>
                </c:pt>
              </c:strCache>
            </c:strRef>
          </c:cat>
          <c:val>
            <c:numRef>
              <c:f>'2. GDP growth by sector'!$B$6:$B$14</c:f>
              <c:numCache>
                <c:formatCode>0.0%</c:formatCode>
                <c:ptCount val="9"/>
                <c:pt idx="0">
                  <c:v>7.9648860276970934E-2</c:v>
                </c:pt>
                <c:pt idx="1">
                  <c:v>-5.8855876470511048E-2</c:v>
                </c:pt>
                <c:pt idx="2">
                  <c:v>-2.1897563314866808E-2</c:v>
                </c:pt>
                <c:pt idx="3">
                  <c:v>-1.2902765409825601E-2</c:v>
                </c:pt>
                <c:pt idx="4">
                  <c:v>-1.8141062294541044E-3</c:v>
                </c:pt>
                <c:pt idx="5">
                  <c:v>1.3357518651662126E-3</c:v>
                </c:pt>
                <c:pt idx="6">
                  <c:v>9.1915741156367581E-3</c:v>
                </c:pt>
                <c:pt idx="7">
                  <c:v>2.9852984141236494E-3</c:v>
                </c:pt>
                <c:pt idx="8">
                  <c:v>1.1571552168345711E-3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3-40B4-9FB6-9E788FA7E2FB}"/>
            </c:ext>
          </c:extLst>
        </c:ser>
        <c:ser>
          <c:idx val="1"/>
          <c:order val="1"/>
          <c:tx>
            <c:strRef>
              <c:f>'2. GDP growth by sector'!$C$5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'2. GDP growth by sector'!$A$6:$A$14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Construction 
and utilities</c:v>
                </c:pt>
                <c:pt idx="4">
                  <c:v>Trade</c:v>
                </c:pt>
                <c:pt idx="5">
                  <c:v>Transport &amp; 
telecomms</c:v>
                </c:pt>
                <c:pt idx="6">
                  <c:v>Business 
services</c:v>
                </c:pt>
                <c:pt idx="7">
                  <c:v>Government  
services</c:v>
                </c:pt>
                <c:pt idx="8">
                  <c:v>Personal 
services</c:v>
                </c:pt>
              </c:strCache>
            </c:strRef>
          </c:cat>
          <c:val>
            <c:numRef>
              <c:f>'2. GDP growth by sector'!$C$6:$C$14</c:f>
              <c:numCache>
                <c:formatCode>0.0%</c:formatCode>
                <c:ptCount val="9"/>
                <c:pt idx="0">
                  <c:v>4.5838662782438533E-2</c:v>
                </c:pt>
                <c:pt idx="1">
                  <c:v>-0.27280342734364749</c:v>
                </c:pt>
                <c:pt idx="2">
                  <c:v>-0.29192688431531288</c:v>
                </c:pt>
                <c:pt idx="3">
                  <c:v>-0.22826253361896998</c:v>
                </c:pt>
                <c:pt idx="4">
                  <c:v>-0.24574152239622082</c:v>
                </c:pt>
                <c:pt idx="5">
                  <c:v>-0.25602225801852097</c:v>
                </c:pt>
                <c:pt idx="6">
                  <c:v>-9.9324234317808457E-2</c:v>
                </c:pt>
                <c:pt idx="7">
                  <c:v>-2.4704642132263865E-3</c:v>
                </c:pt>
                <c:pt idx="8">
                  <c:v>-9.4353173592399253E-2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3-40B4-9FB6-9E788FA7E2FB}"/>
            </c:ext>
          </c:extLst>
        </c:ser>
        <c:ser>
          <c:idx val="2"/>
          <c:order val="2"/>
          <c:tx>
            <c:strRef>
              <c:f>'2. GDP growth by sector'!$D$5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'2. GDP growth by sector'!$A$6:$A$14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Construction 
and utilities</c:v>
                </c:pt>
                <c:pt idx="4">
                  <c:v>Trade</c:v>
                </c:pt>
                <c:pt idx="5">
                  <c:v>Transport &amp; 
telecomms</c:v>
                </c:pt>
                <c:pt idx="6">
                  <c:v>Business 
services</c:v>
                </c:pt>
                <c:pt idx="7">
                  <c:v>Government  
services</c:v>
                </c:pt>
                <c:pt idx="8">
                  <c:v>Personal 
services</c:v>
                </c:pt>
              </c:strCache>
            </c:strRef>
          </c:cat>
          <c:val>
            <c:numRef>
              <c:f>'2. GDP growth by sector'!$D$6:$D$14</c:f>
              <c:numCache>
                <c:formatCode>0.0%</c:formatCode>
                <c:ptCount val="9"/>
                <c:pt idx="0">
                  <c:v>4.3301480624667876E-2</c:v>
                </c:pt>
                <c:pt idx="1">
                  <c:v>0.40374453027139867</c:v>
                </c:pt>
                <c:pt idx="2">
                  <c:v>0.32708538501846074</c:v>
                </c:pt>
                <c:pt idx="3">
                  <c:v>0.13368690269634631</c:v>
                </c:pt>
                <c:pt idx="4">
                  <c:v>0.24075244909732674</c:v>
                </c:pt>
                <c:pt idx="5">
                  <c:v>0.15719384160150796</c:v>
                </c:pt>
                <c:pt idx="6">
                  <c:v>3.8864861504845472E-2</c:v>
                </c:pt>
                <c:pt idx="7">
                  <c:v>2.3592948733872632E-3</c:v>
                </c:pt>
                <c:pt idx="8">
                  <c:v>8.5080338879597539E-2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D3-40B4-9FB6-9E788FA7E2FB}"/>
            </c:ext>
          </c:extLst>
        </c:ser>
        <c:ser>
          <c:idx val="3"/>
          <c:order val="3"/>
          <c:tx>
            <c:strRef>
              <c:f>'2. GDP growth by sector'!$E$5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'2. GDP growth by sector'!$A$6:$A$14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Construction 
and utilities</c:v>
                </c:pt>
                <c:pt idx="4">
                  <c:v>Trade</c:v>
                </c:pt>
                <c:pt idx="5">
                  <c:v>Transport &amp; 
telecomms</c:v>
                </c:pt>
                <c:pt idx="6">
                  <c:v>Business 
services</c:v>
                </c:pt>
                <c:pt idx="7">
                  <c:v>Government  
services</c:v>
                </c:pt>
                <c:pt idx="8">
                  <c:v>Personal 
services</c:v>
                </c:pt>
              </c:strCache>
            </c:strRef>
          </c:cat>
          <c:val>
            <c:numRef>
              <c:f>'2. GDP growth by sector'!$E$6:$E$14</c:f>
              <c:numCache>
                <c:formatCode>0.0%</c:formatCode>
                <c:ptCount val="9"/>
                <c:pt idx="0">
                  <c:v>1.4454177817773139E-2</c:v>
                </c:pt>
                <c:pt idx="1">
                  <c:v>-3.5587900574861608E-3</c:v>
                </c:pt>
                <c:pt idx="2">
                  <c:v>4.891834880445689E-2</c:v>
                </c:pt>
                <c:pt idx="3">
                  <c:v>1.747610935388022E-2</c:v>
                </c:pt>
                <c:pt idx="4">
                  <c:v>2.3672843249121556E-2</c:v>
                </c:pt>
                <c:pt idx="5">
                  <c:v>1.6308612110639054E-2</c:v>
                </c:pt>
                <c:pt idx="6">
                  <c:v>-5.9785116255783866E-4</c:v>
                </c:pt>
                <c:pt idx="7">
                  <c:v>1.7284660089957882E-3</c:v>
                </c:pt>
                <c:pt idx="8">
                  <c:v>1.1770332471450429E-2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D3-40B4-9FB6-9E788FA7E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lineChart>
        <c:grouping val="standard"/>
        <c:varyColors val="0"/>
        <c:ser>
          <c:idx val="4"/>
          <c:order val="4"/>
          <c:tx>
            <c:strRef>
              <c:f>'2. GDP growth by sector'!$F$5</c:f>
              <c:strCache>
                <c:ptCount val="1"/>
                <c:pt idx="0">
                  <c:v>Annual for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2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'2. GDP growth by sector'!$A$6:$A$14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Construction 
and utilities</c:v>
                </c:pt>
                <c:pt idx="4">
                  <c:v>Trade</c:v>
                </c:pt>
                <c:pt idx="5">
                  <c:v>Transport &amp; 
telecomms</c:v>
                </c:pt>
                <c:pt idx="6">
                  <c:v>Business 
services</c:v>
                </c:pt>
                <c:pt idx="7">
                  <c:v>Government  
services</c:v>
                </c:pt>
                <c:pt idx="8">
                  <c:v>Personal 
services</c:v>
                </c:pt>
              </c:strCache>
            </c:strRef>
          </c:cat>
          <c:val>
            <c:numRef>
              <c:f>'2. GDP growth by sector'!$F$6:$F$14</c:f>
              <c:numCache>
                <c:formatCode>0%</c:formatCode>
                <c:ptCount val="9"/>
                <c:pt idx="0">
                  <c:v>0.1306409460845579</c:v>
                </c:pt>
                <c:pt idx="1">
                  <c:v>-0.10922600641921898</c:v>
                </c:pt>
                <c:pt idx="2">
                  <c:v>-0.11585347897724818</c:v>
                </c:pt>
                <c:pt idx="3">
                  <c:v>-0.14472014079110673</c:v>
                </c:pt>
                <c:pt idx="4">
                  <c:v>-9.1308951435174257E-2</c:v>
                </c:pt>
                <c:pt idx="5">
                  <c:v>-0.14799131153785183</c:v>
                </c:pt>
                <c:pt idx="6">
                  <c:v>-4.4249983754333644E-2</c:v>
                </c:pt>
                <c:pt idx="7">
                  <c:v>7.4223725986473088E-3</c:v>
                </c:pt>
                <c:pt idx="8">
                  <c:v>-2.2804097007721458E-2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109-4C9E-97AE-0F7C1667B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045503"/>
        <c:axId val="2102050079"/>
      </c:line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 Manufacturing trade'!$B$18</c:f>
              <c:strCache>
                <c:ptCount val="1"/>
                <c:pt idx="0">
                  <c:v>First quarter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Manufacturing trade'!$A$19:$A$27</c:f>
              <c:strCache>
                <c:ptCount val="9"/>
                <c:pt idx="0">
                  <c:v>Food, beverages, tobacco</c:v>
                </c:pt>
                <c:pt idx="1">
                  <c:v>Clothing and 
textiles</c:v>
                </c:pt>
                <c:pt idx="2">
                  <c:v>Wood and wood products</c:v>
                </c:pt>
                <c:pt idx="3">
                  <c:v>Paper and 
publishing</c:v>
                </c:pt>
                <c:pt idx="4">
                  <c:v>Chemicals, rubber, plastic</c:v>
                </c:pt>
                <c:pt idx="5">
                  <c:v>Glass and non-metallic mineral products</c:v>
                </c:pt>
                <c:pt idx="6">
                  <c:v>Metal products</c:v>
                </c:pt>
                <c:pt idx="7">
                  <c:v>Machinery and appliances</c:v>
                </c:pt>
                <c:pt idx="8">
                  <c:v>Transport 
equipment</c:v>
                </c:pt>
              </c:strCache>
            </c:strRef>
          </c:cat>
          <c:val>
            <c:numRef>
              <c:f>'15. Manufacturing trade'!$B$19:$B$27</c:f>
              <c:numCache>
                <c:formatCode>_-* #\ ##0_-;\-* #\ ##0_-;_-* "-"??_-;_-@_-</c:formatCode>
                <c:ptCount val="9"/>
                <c:pt idx="0">
                  <c:v>12.634840243548901</c:v>
                </c:pt>
                <c:pt idx="1">
                  <c:v>16.297003479269399</c:v>
                </c:pt>
                <c:pt idx="2">
                  <c:v>1.4152741374311399</c:v>
                </c:pt>
                <c:pt idx="3">
                  <c:v>8.4533253116845497</c:v>
                </c:pt>
                <c:pt idx="4">
                  <c:v>44.402022180342101</c:v>
                </c:pt>
                <c:pt idx="5">
                  <c:v>3.1283398086401899</c:v>
                </c:pt>
                <c:pt idx="6">
                  <c:v>14.9505210205857</c:v>
                </c:pt>
                <c:pt idx="7">
                  <c:v>68.922841548274903</c:v>
                </c:pt>
                <c:pt idx="8">
                  <c:v>53.554882429689805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3-4050-B516-4C38A02F924A}"/>
            </c:ext>
          </c:extLst>
        </c:ser>
        <c:ser>
          <c:idx val="1"/>
          <c:order val="1"/>
          <c:tx>
            <c:strRef>
              <c:f>'15. Manufacturing trade'!$C$18</c:f>
              <c:strCache>
                <c:ptCount val="1"/>
                <c:pt idx="0">
                  <c:v>Second quarter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Manufacturing trade'!$A$19:$A$27</c:f>
              <c:strCache>
                <c:ptCount val="9"/>
                <c:pt idx="0">
                  <c:v>Food, beverages, tobacco</c:v>
                </c:pt>
                <c:pt idx="1">
                  <c:v>Clothing and 
textiles</c:v>
                </c:pt>
                <c:pt idx="2">
                  <c:v>Wood and wood products</c:v>
                </c:pt>
                <c:pt idx="3">
                  <c:v>Paper and 
publishing</c:v>
                </c:pt>
                <c:pt idx="4">
                  <c:v>Chemicals, rubber, plastic</c:v>
                </c:pt>
                <c:pt idx="5">
                  <c:v>Glass and non-metallic mineral products</c:v>
                </c:pt>
                <c:pt idx="6">
                  <c:v>Metal products</c:v>
                </c:pt>
                <c:pt idx="7">
                  <c:v>Machinery and appliances</c:v>
                </c:pt>
                <c:pt idx="8">
                  <c:v>Transport 
equipment</c:v>
                </c:pt>
              </c:strCache>
            </c:strRef>
          </c:cat>
          <c:val>
            <c:numRef>
              <c:f>'15. Manufacturing trade'!$C$19:$C$27</c:f>
              <c:numCache>
                <c:formatCode>_-* #\ ##0_-;\-* #\ ##0_-;_-* "-"??_-;_-@_-</c:formatCode>
                <c:ptCount val="9"/>
                <c:pt idx="0">
                  <c:v>11.735320743753601</c:v>
                </c:pt>
                <c:pt idx="1">
                  <c:v>16.917545903544497</c:v>
                </c:pt>
                <c:pt idx="2">
                  <c:v>0.92419378268448604</c:v>
                </c:pt>
                <c:pt idx="3">
                  <c:v>6.6679815514235896</c:v>
                </c:pt>
                <c:pt idx="4">
                  <c:v>48.290095293434</c:v>
                </c:pt>
                <c:pt idx="5">
                  <c:v>2.5777347472399801</c:v>
                </c:pt>
                <c:pt idx="6">
                  <c:v>13.0882178965718</c:v>
                </c:pt>
                <c:pt idx="7">
                  <c:v>68.689145554909899</c:v>
                </c:pt>
                <c:pt idx="8">
                  <c:v>27.827117373619998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3-4050-B516-4C38A02F924A}"/>
            </c:ext>
          </c:extLst>
        </c:ser>
        <c:ser>
          <c:idx val="2"/>
          <c:order val="2"/>
          <c:tx>
            <c:strRef>
              <c:f>'15. Manufacturing trade'!$D$18</c:f>
              <c:strCache>
                <c:ptCount val="1"/>
                <c:pt idx="0">
                  <c:v>Third quarter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'15. Manufacturing trade'!$A$19:$A$27</c:f>
              <c:strCache>
                <c:ptCount val="9"/>
                <c:pt idx="0">
                  <c:v>Food, beverages, tobacco</c:v>
                </c:pt>
                <c:pt idx="1">
                  <c:v>Clothing and 
textiles</c:v>
                </c:pt>
                <c:pt idx="2">
                  <c:v>Wood and wood products</c:v>
                </c:pt>
                <c:pt idx="3">
                  <c:v>Paper and 
publishing</c:v>
                </c:pt>
                <c:pt idx="4">
                  <c:v>Chemicals, rubber, plastic</c:v>
                </c:pt>
                <c:pt idx="5">
                  <c:v>Glass and non-metallic mineral products</c:v>
                </c:pt>
                <c:pt idx="6">
                  <c:v>Metal products</c:v>
                </c:pt>
                <c:pt idx="7">
                  <c:v>Machinery and appliances</c:v>
                </c:pt>
                <c:pt idx="8">
                  <c:v>Transport 
equipment</c:v>
                </c:pt>
              </c:strCache>
            </c:strRef>
          </c:cat>
          <c:val>
            <c:numRef>
              <c:f>'15. Manufacturing trade'!$D$19:$D$27</c:f>
              <c:numCache>
                <c:formatCode>_-* #\ ##0_-;\-* #\ ##0_-;_-* "-"??_-;_-@_-</c:formatCode>
                <c:ptCount val="9"/>
                <c:pt idx="0">
                  <c:v>12.1188116066324</c:v>
                </c:pt>
                <c:pt idx="1">
                  <c:v>16.024099199542601</c:v>
                </c:pt>
                <c:pt idx="2">
                  <c:v>1.2360781875357301</c:v>
                </c:pt>
                <c:pt idx="3">
                  <c:v>8.610041738136081</c:v>
                </c:pt>
                <c:pt idx="4">
                  <c:v>51.665978130360202</c:v>
                </c:pt>
                <c:pt idx="5">
                  <c:v>2.76045068610635</c:v>
                </c:pt>
                <c:pt idx="6">
                  <c:v>13.418396941109201</c:v>
                </c:pt>
                <c:pt idx="7">
                  <c:v>77.061300457404201</c:v>
                </c:pt>
                <c:pt idx="8">
                  <c:v>35.394884362492796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A3-4050-B516-4C38A02F924A}"/>
            </c:ext>
          </c:extLst>
        </c:ser>
        <c:ser>
          <c:idx val="3"/>
          <c:order val="3"/>
          <c:tx>
            <c:strRef>
              <c:f>'15. Manufacturing trade'!$E$18</c:f>
              <c:strCache>
                <c:ptCount val="1"/>
                <c:pt idx="0">
                  <c:v>Fourth quarter</c:v>
                </c:pt>
              </c:strCache>
            </c:strRef>
          </c:tx>
          <c:spPr>
            <a:solidFill>
              <a:srgbClr val="44546A">
                <a:lumMod val="50000"/>
              </a:srgbClr>
            </a:solidFill>
          </c:spPr>
          <c:invertIfNegative val="0"/>
          <c:cat>
            <c:strRef>
              <c:f>'15. Manufacturing trade'!$A$19:$A$27</c:f>
              <c:strCache>
                <c:ptCount val="9"/>
                <c:pt idx="0">
                  <c:v>Food, beverages, tobacco</c:v>
                </c:pt>
                <c:pt idx="1">
                  <c:v>Clothing and 
textiles</c:v>
                </c:pt>
                <c:pt idx="2">
                  <c:v>Wood and wood products</c:v>
                </c:pt>
                <c:pt idx="3">
                  <c:v>Paper and 
publishing</c:v>
                </c:pt>
                <c:pt idx="4">
                  <c:v>Chemicals, rubber, plastic</c:v>
                </c:pt>
                <c:pt idx="5">
                  <c:v>Glass and non-metallic mineral products</c:v>
                </c:pt>
                <c:pt idx="6">
                  <c:v>Metal products</c:v>
                </c:pt>
                <c:pt idx="7">
                  <c:v>Machinery and appliances</c:v>
                </c:pt>
                <c:pt idx="8">
                  <c:v>Transport 
equipment</c:v>
                </c:pt>
              </c:strCache>
            </c:strRef>
          </c:cat>
          <c:val>
            <c:numRef>
              <c:f>'15. Manufacturing trade'!$E$19:$E$27</c:f>
              <c:numCache>
                <c:formatCode>_-* #\ ##0_-;\-* #\ ##0_-;_-* "-"??_-;_-@_-</c:formatCode>
                <c:ptCount val="9"/>
                <c:pt idx="0">
                  <c:v>13.9581</c:v>
                </c:pt>
                <c:pt idx="1">
                  <c:v>17.857400000000002</c:v>
                </c:pt>
                <c:pt idx="2">
                  <c:v>1.4979</c:v>
                </c:pt>
                <c:pt idx="3">
                  <c:v>9.9292000000000016</c:v>
                </c:pt>
                <c:pt idx="4">
                  <c:v>52.821899999999999</c:v>
                </c:pt>
                <c:pt idx="5">
                  <c:v>3.8090000000000002</c:v>
                </c:pt>
                <c:pt idx="6">
                  <c:v>17.269200000000001</c:v>
                </c:pt>
                <c:pt idx="7">
                  <c:v>84.222200000000001</c:v>
                </c:pt>
                <c:pt idx="8">
                  <c:v>48.012599999999999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A3-4050-B516-4C38A02F9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lineChart>
        <c:grouping val="standard"/>
        <c:varyColors val="0"/>
        <c:ser>
          <c:idx val="4"/>
          <c:order val="4"/>
          <c:tx>
            <c:strRef>
              <c:f>'15. Manufacturing trade'!$F$18</c:f>
              <c:strCache>
                <c:ptCount val="1"/>
                <c:pt idx="0">
                  <c:v>% recovery from Q2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2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'15. Manufacturing trade'!$A$19:$A$27</c:f>
              <c:strCache>
                <c:ptCount val="9"/>
                <c:pt idx="0">
                  <c:v>Food, beverages, tobacco</c:v>
                </c:pt>
                <c:pt idx="1">
                  <c:v>Clothing and 
textiles</c:v>
                </c:pt>
                <c:pt idx="2">
                  <c:v>Wood and wood products</c:v>
                </c:pt>
                <c:pt idx="3">
                  <c:v>Paper and 
publishing</c:v>
                </c:pt>
                <c:pt idx="4">
                  <c:v>Chemicals, rubber, plastic</c:v>
                </c:pt>
                <c:pt idx="5">
                  <c:v>Glass and non-metallic mineral products</c:v>
                </c:pt>
                <c:pt idx="6">
                  <c:v>Metal products</c:v>
                </c:pt>
                <c:pt idx="7">
                  <c:v>Machinery and appliances</c:v>
                </c:pt>
                <c:pt idx="8">
                  <c:v>Transport 
equipment</c:v>
                </c:pt>
              </c:strCache>
            </c:strRef>
          </c:cat>
          <c:val>
            <c:numRef>
              <c:f>'15. Manufacturing trade'!$F$19:$F$27</c:f>
              <c:numCache>
                <c:formatCode>0%</c:formatCode>
                <c:ptCount val="9"/>
                <c:pt idx="0">
                  <c:v>0.18940933143472249</c:v>
                </c:pt>
                <c:pt idx="1">
                  <c:v>5.55549901749397E-2</c:v>
                </c:pt>
                <c:pt idx="2">
                  <c:v>0.620763987016967</c:v>
                </c:pt>
                <c:pt idx="3">
                  <c:v>0.48908630346767445</c:v>
                </c:pt>
                <c:pt idx="4">
                  <c:v>9.3845428944145937E-2</c:v>
                </c:pt>
                <c:pt idx="5">
                  <c:v>0.47765397664688147</c:v>
                </c:pt>
                <c:pt idx="6">
                  <c:v>0.31944624825686363</c:v>
                </c:pt>
                <c:pt idx="7">
                  <c:v>0.22613550248158232</c:v>
                </c:pt>
                <c:pt idx="8">
                  <c:v>0.72538892028808433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A3-4050-B516-4C38A02F9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355183"/>
        <c:axId val="1153353519"/>
      </c:line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billions of constant (2020) rand</a:t>
                </a:r>
              </a:p>
            </c:rich>
          </c:tx>
          <c:overlay val="0"/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valAx>
        <c:axId val="1153353519"/>
        <c:scaling>
          <c:orientation val="minMax"/>
          <c:max val="0.9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% change from Q2 to Q4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153355183"/>
        <c:crosses val="max"/>
        <c:crossBetween val="between"/>
      </c:valAx>
      <c:catAx>
        <c:axId val="11533551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3353519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'16. Investment by organisation'!$A$6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'16. Investment by organisation'!$B$5:$I$5</c:f>
              <c:strCache>
                <c:ptCount val="8"/>
                <c:pt idx="0">
                  <c:v>Q4 2018</c:v>
                </c:pt>
                <c:pt idx="1">
                  <c:v>Q1 2019</c:v>
                </c:pt>
                <c:pt idx="2">
                  <c:v>Q2 2019</c:v>
                </c:pt>
                <c:pt idx="3">
                  <c:v>Q3 2019</c:v>
                </c:pt>
                <c:pt idx="4">
                  <c:v>Q4 2019</c:v>
                </c:pt>
                <c:pt idx="5">
                  <c:v>Q1 2020</c:v>
                </c:pt>
                <c:pt idx="6">
                  <c:v>Q2 2020</c:v>
                </c:pt>
                <c:pt idx="7">
                  <c:v>Q3 2020</c:v>
                </c:pt>
              </c:strCache>
            </c:strRef>
          </c:cat>
          <c:val>
            <c:numRef>
              <c:f>'16. Investment by organisation'!$B$6:$I$6</c:f>
              <c:numCache>
                <c:formatCode>_-* #\ ##0_-;\-* #\ ##0_-;_-* "-"??_-;_-@_-</c:formatCode>
                <c:ptCount val="8"/>
                <c:pt idx="0">
                  <c:v>38.560575559881642</c:v>
                </c:pt>
                <c:pt idx="1">
                  <c:v>38.348527451554119</c:v>
                </c:pt>
                <c:pt idx="2">
                  <c:v>36.679129847304182</c:v>
                </c:pt>
                <c:pt idx="3">
                  <c:v>35.151278563240972</c:v>
                </c:pt>
                <c:pt idx="4">
                  <c:v>33.491873372894972</c:v>
                </c:pt>
                <c:pt idx="5">
                  <c:v>34.047459058677283</c:v>
                </c:pt>
                <c:pt idx="6">
                  <c:v>35.124685812555313</c:v>
                </c:pt>
                <c:pt idx="7">
                  <c:v>35.784383008857304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4-440C-A648-865B47C3F51B}"/>
            </c:ext>
          </c:extLst>
        </c:ser>
        <c:ser>
          <c:idx val="2"/>
          <c:order val="1"/>
          <c:tx>
            <c:strRef>
              <c:f>'16. Investment by organisation'!$A$7</c:f>
              <c:strCache>
                <c:ptCount val="1"/>
                <c:pt idx="0">
                  <c:v>SOC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'16. Investment by organisation'!$B$5:$I$5</c:f>
              <c:strCache>
                <c:ptCount val="8"/>
                <c:pt idx="0">
                  <c:v>Q4 2018</c:v>
                </c:pt>
                <c:pt idx="1">
                  <c:v>Q1 2019</c:v>
                </c:pt>
                <c:pt idx="2">
                  <c:v>Q2 2019</c:v>
                </c:pt>
                <c:pt idx="3">
                  <c:v>Q3 2019</c:v>
                </c:pt>
                <c:pt idx="4">
                  <c:v>Q4 2019</c:v>
                </c:pt>
                <c:pt idx="5">
                  <c:v>Q1 2020</c:v>
                </c:pt>
                <c:pt idx="6">
                  <c:v>Q2 2020</c:v>
                </c:pt>
                <c:pt idx="7">
                  <c:v>Q3 2020</c:v>
                </c:pt>
              </c:strCache>
            </c:strRef>
          </c:cat>
          <c:val>
            <c:numRef>
              <c:f>'16. Investment by organisation'!$B$7:$I$7</c:f>
              <c:numCache>
                <c:formatCode>_-* #\ ##0_-;\-* #\ ##0_-;_-* "-"??_-;_-@_-</c:formatCode>
                <c:ptCount val="8"/>
                <c:pt idx="0">
                  <c:v>35.074583173109289</c:v>
                </c:pt>
                <c:pt idx="1">
                  <c:v>36.42518280464509</c:v>
                </c:pt>
                <c:pt idx="2">
                  <c:v>35.276944890272631</c:v>
                </c:pt>
                <c:pt idx="3">
                  <c:v>35.340808594557856</c:v>
                </c:pt>
                <c:pt idx="4">
                  <c:v>35.318284906752694</c:v>
                </c:pt>
                <c:pt idx="5">
                  <c:v>36.301250613246708</c:v>
                </c:pt>
                <c:pt idx="6">
                  <c:v>23.481643450109335</c:v>
                </c:pt>
                <c:pt idx="7">
                  <c:v>22.175916886822272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4-440C-A648-865B47C3F51B}"/>
            </c:ext>
          </c:extLst>
        </c:ser>
        <c:ser>
          <c:idx val="1"/>
          <c:order val="2"/>
          <c:tx>
            <c:strRef>
              <c:f>'16. Investment by organisation'!$A$8</c:f>
              <c:strCache>
                <c:ptCount val="1"/>
                <c:pt idx="0">
                  <c:v>Private business enterprises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'16. Investment by organisation'!$B$5:$I$5</c:f>
              <c:strCache>
                <c:ptCount val="8"/>
                <c:pt idx="0">
                  <c:v>Q4 2018</c:v>
                </c:pt>
                <c:pt idx="1">
                  <c:v>Q1 2019</c:v>
                </c:pt>
                <c:pt idx="2">
                  <c:v>Q2 2019</c:v>
                </c:pt>
                <c:pt idx="3">
                  <c:v>Q3 2019</c:v>
                </c:pt>
                <c:pt idx="4">
                  <c:v>Q4 2019</c:v>
                </c:pt>
                <c:pt idx="5">
                  <c:v>Q1 2020</c:v>
                </c:pt>
                <c:pt idx="6">
                  <c:v>Q2 2020</c:v>
                </c:pt>
                <c:pt idx="7">
                  <c:v>Q3 2020</c:v>
                </c:pt>
              </c:strCache>
            </c:strRef>
          </c:cat>
          <c:val>
            <c:numRef>
              <c:f>'16. Investment by organisation'!$B$8:$I$8</c:f>
              <c:numCache>
                <c:formatCode>_-* #\ ##0_-;\-* #\ ##0_-;_-* "-"??_-;_-@_-</c:formatCode>
                <c:ptCount val="8"/>
                <c:pt idx="0">
                  <c:v>171.91253440975154</c:v>
                </c:pt>
                <c:pt idx="1">
                  <c:v>168.20019427133712</c:v>
                </c:pt>
                <c:pt idx="2">
                  <c:v>174.55219669565437</c:v>
                </c:pt>
                <c:pt idx="3">
                  <c:v>178.54927190072118</c:v>
                </c:pt>
                <c:pt idx="4">
                  <c:v>173.77014089376857</c:v>
                </c:pt>
                <c:pt idx="5">
                  <c:v>159.9046903409384</c:v>
                </c:pt>
                <c:pt idx="6">
                  <c:v>125.05584564674163</c:v>
                </c:pt>
                <c:pt idx="7">
                  <c:v>137.0139072632704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4-440C-A648-865B47C3F51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7"/>
        <c:overlap val="100"/>
        <c:axId val="100906496"/>
        <c:axId val="100908032"/>
      </c:barChart>
      <c:catAx>
        <c:axId val="1009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8032"/>
        <c:crosses val="autoZero"/>
        <c:auto val="1"/>
        <c:lblAlgn val="ctr"/>
        <c:lblOffset val="100"/>
        <c:noMultiLvlLbl val="0"/>
      </c:catAx>
      <c:valAx>
        <c:axId val="100908032"/>
        <c:scaling>
          <c:orientation val="minMax"/>
          <c:max val="25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billions of constant (2020) rand</a:t>
                </a:r>
              </a:p>
            </c:rich>
          </c:tx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6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'17. Return on assets'!$B$4</c:f>
              <c:strCache>
                <c:ptCount val="1"/>
                <c:pt idx="0">
                  <c:v>mining</c:v>
                </c:pt>
              </c:strCache>
            </c:strRef>
          </c:tx>
          <c:spPr>
            <a:ln w="1905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8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</c:spPr>
          </c:marker>
          <c:cat>
            <c:numRef>
              <c:f>'17. Return on assets'!$A$5:$A$14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'17. Return on assets'!$B$5:$B$14</c:f>
              <c:numCache>
                <c:formatCode>0.0%</c:formatCode>
                <c:ptCount val="10"/>
                <c:pt idx="0">
                  <c:v>5.5223541531243182E-2</c:v>
                </c:pt>
                <c:pt idx="1">
                  <c:v>2.466146268423134E-2</c:v>
                </c:pt>
                <c:pt idx="2">
                  <c:v>1.9893306917187004E-4</c:v>
                </c:pt>
                <c:pt idx="3">
                  <c:v>2.2300717583579016E-2</c:v>
                </c:pt>
                <c:pt idx="4">
                  <c:v>-1.2323813020164109E-2</c:v>
                </c:pt>
                <c:pt idx="5">
                  <c:v>3.0470319392039112E-2</c:v>
                </c:pt>
                <c:pt idx="6">
                  <c:v>2.395220629691059E-2</c:v>
                </c:pt>
                <c:pt idx="7">
                  <c:v>5.1188984368850034E-2</c:v>
                </c:pt>
                <c:pt idx="8">
                  <c:v>3.7246513326334399E-2</c:v>
                </c:pt>
                <c:pt idx="9">
                  <c:v>0.12137416724669385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04D-41D4-A408-3C592B21CA16}"/>
            </c:ext>
          </c:extLst>
        </c:ser>
        <c:ser>
          <c:idx val="1"/>
          <c:order val="1"/>
          <c:tx>
            <c:strRef>
              <c:f>'17. Return on assets'!$C$4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'17. Return on assets'!$A$5:$A$14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'17. Return on assets'!$C$5:$C$14</c:f>
              <c:numCache>
                <c:formatCode>0.0%</c:formatCode>
                <c:ptCount val="10"/>
                <c:pt idx="0">
                  <c:v>0.10214663638793982</c:v>
                </c:pt>
                <c:pt idx="1">
                  <c:v>0.10584526431718062</c:v>
                </c:pt>
                <c:pt idx="2">
                  <c:v>0.12551422120298053</c:v>
                </c:pt>
                <c:pt idx="3">
                  <c:v>0.10230817060676013</c:v>
                </c:pt>
                <c:pt idx="4">
                  <c:v>9.6704613273190979E-2</c:v>
                </c:pt>
                <c:pt idx="5">
                  <c:v>0.15878472901629542</c:v>
                </c:pt>
                <c:pt idx="6">
                  <c:v>0.12400659966212885</c:v>
                </c:pt>
                <c:pt idx="7">
                  <c:v>0.10649179466227023</c:v>
                </c:pt>
                <c:pt idx="8">
                  <c:v>6.2591536890503188E-2</c:v>
                </c:pt>
                <c:pt idx="9">
                  <c:v>8.489748891563538E-2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04D-41D4-A408-3C592B21CA16}"/>
            </c:ext>
          </c:extLst>
        </c:ser>
        <c:ser>
          <c:idx val="2"/>
          <c:order val="2"/>
          <c:tx>
            <c:strRef>
              <c:f>'17. Return on assets'!$D$4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'17. Return on assets'!$A$5:$A$14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'17. Return on assets'!$D$5:$D$14</c:f>
              <c:numCache>
                <c:formatCode>0.0%</c:formatCode>
                <c:ptCount val="10"/>
                <c:pt idx="0">
                  <c:v>0.11747560900779284</c:v>
                </c:pt>
                <c:pt idx="1">
                  <c:v>0.18048464527928065</c:v>
                </c:pt>
                <c:pt idx="2">
                  <c:v>0.22356611840838181</c:v>
                </c:pt>
                <c:pt idx="3">
                  <c:v>5.3864537647398694E-2</c:v>
                </c:pt>
                <c:pt idx="4">
                  <c:v>0.14214403518416713</c:v>
                </c:pt>
                <c:pt idx="5">
                  <c:v>6.7019156239619085E-2</c:v>
                </c:pt>
                <c:pt idx="6">
                  <c:v>5.0225018026305975E-2</c:v>
                </c:pt>
                <c:pt idx="7">
                  <c:v>0.10180751585650179</c:v>
                </c:pt>
                <c:pt idx="8">
                  <c:v>8.2306601544036559E-2</c:v>
                </c:pt>
                <c:pt idx="9">
                  <c:v>6.0476915271435817E-2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04D-41D4-A408-3C592B21CA16}"/>
            </c:ext>
          </c:extLst>
        </c:ser>
        <c:ser>
          <c:idx val="3"/>
          <c:order val="3"/>
          <c:tx>
            <c:strRef>
              <c:f>'17. Return on assets'!$E$4</c:f>
              <c:strCache>
                <c:ptCount val="1"/>
                <c:pt idx="0">
                  <c:v>other</c:v>
                </c:pt>
              </c:strCache>
            </c:strRef>
          </c:tx>
          <c:spPr>
            <a:ln w="22225"/>
          </c:spPr>
          <c:marker>
            <c:symbol val="square"/>
            <c:size val="7"/>
          </c:marker>
          <c:cat>
            <c:numRef>
              <c:f>'17. Return on assets'!$A$5:$A$14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'17. Return on assets'!$E$5:$E$14</c:f>
              <c:numCache>
                <c:formatCode>0.0%</c:formatCode>
                <c:ptCount val="10"/>
                <c:pt idx="0">
                  <c:v>9.2368529303730518E-2</c:v>
                </c:pt>
                <c:pt idx="1">
                  <c:v>8.4284895531177642E-2</c:v>
                </c:pt>
                <c:pt idx="2">
                  <c:v>9.363488436958714E-2</c:v>
                </c:pt>
                <c:pt idx="3">
                  <c:v>8.7777062242704221E-2</c:v>
                </c:pt>
                <c:pt idx="4">
                  <c:v>6.3624131620746552E-2</c:v>
                </c:pt>
                <c:pt idx="5">
                  <c:v>5.843938261861966E-2</c:v>
                </c:pt>
                <c:pt idx="6">
                  <c:v>5.6011236802447746E-2</c:v>
                </c:pt>
                <c:pt idx="7">
                  <c:v>4.5766915841717229E-2</c:v>
                </c:pt>
                <c:pt idx="8">
                  <c:v>4.8754028121501009E-2</c:v>
                </c:pt>
                <c:pt idx="9">
                  <c:v>3.6956206482116075E-2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04D-41D4-A408-3C592B21C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'18. Mining and mfg returns'!$C$3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'18. Mining and mfg returns'!$A$4:$B$46</c:f>
              <c:multiLvlStrCache>
                <c:ptCount val="4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'18. Mining and mfg returns'!$C$4:$C$46</c:f>
              <c:numCache>
                <c:formatCode>_ * #\ ##0_ ;_ * \-#\ ##0_ ;_ * "-"??_ ;_ @_ </c:formatCode>
                <c:ptCount val="43"/>
                <c:pt idx="0">
                  <c:v>15.969786296118833</c:v>
                </c:pt>
                <c:pt idx="1">
                  <c:v>31.16324537256763</c:v>
                </c:pt>
                <c:pt idx="2">
                  <c:v>28.165158192090399</c:v>
                </c:pt>
                <c:pt idx="3">
                  <c:v>46.167696202531644</c:v>
                </c:pt>
                <c:pt idx="4">
                  <c:v>32.213914087759818</c:v>
                </c:pt>
                <c:pt idx="5">
                  <c:v>34.883229931972792</c:v>
                </c:pt>
                <c:pt idx="6">
                  <c:v>38.357702545779361</c:v>
                </c:pt>
                <c:pt idx="7">
                  <c:v>39.503009708737856</c:v>
                </c:pt>
                <c:pt idx="8">
                  <c:v>32.244287081339721</c:v>
                </c:pt>
                <c:pt idx="9">
                  <c:v>38.166267352185088</c:v>
                </c:pt>
                <c:pt idx="10">
                  <c:v>17.320670063694269</c:v>
                </c:pt>
                <c:pt idx="11">
                  <c:v>7.2194630480167028</c:v>
                </c:pt>
                <c:pt idx="12">
                  <c:v>22.234512946979038</c:v>
                </c:pt>
                <c:pt idx="13">
                  <c:v>10.071118052738337</c:v>
                </c:pt>
                <c:pt idx="14">
                  <c:v>0.13695725129844186</c:v>
                </c:pt>
                <c:pt idx="15">
                  <c:v>-2.0732995245641841</c:v>
                </c:pt>
                <c:pt idx="16">
                  <c:v>26.548679347826088</c:v>
                </c:pt>
                <c:pt idx="17">
                  <c:v>12.587742009132423</c:v>
                </c:pt>
                <c:pt idx="18">
                  <c:v>15.804074380165289</c:v>
                </c:pt>
                <c:pt idx="19">
                  <c:v>4.4131439280359821</c:v>
                </c:pt>
                <c:pt idx="20">
                  <c:v>-0.13293442622950824</c:v>
                </c:pt>
                <c:pt idx="21">
                  <c:v>-15.170313911143481</c:v>
                </c:pt>
                <c:pt idx="22">
                  <c:v>-7.932403162055337</c:v>
                </c:pt>
                <c:pt idx="23">
                  <c:v>-17.187240343347639</c:v>
                </c:pt>
                <c:pt idx="24">
                  <c:v>-1.5092769230769232</c:v>
                </c:pt>
                <c:pt idx="25">
                  <c:v>13.012559999999999</c:v>
                </c:pt>
                <c:pt idx="26">
                  <c:v>16.933580547112463</c:v>
                </c:pt>
                <c:pt idx="27">
                  <c:v>27.754622950819677</c:v>
                </c:pt>
                <c:pt idx="28">
                  <c:v>15.978220689655174</c:v>
                </c:pt>
                <c:pt idx="29">
                  <c:v>-11.118642857142857</c:v>
                </c:pt>
                <c:pt idx="30">
                  <c:v>13.170201095713827</c:v>
                </c:pt>
                <c:pt idx="31">
                  <c:v>11.63727603833866</c:v>
                </c:pt>
                <c:pt idx="32">
                  <c:v>19.011685173501579</c:v>
                </c:pt>
                <c:pt idx="33">
                  <c:v>-7.0438284648850233</c:v>
                </c:pt>
                <c:pt idx="34">
                  <c:v>25.832375690607734</c:v>
                </c:pt>
                <c:pt idx="35">
                  <c:v>9.564910648714811</c:v>
                </c:pt>
                <c:pt idx="36">
                  <c:v>22.332977293369666</c:v>
                </c:pt>
                <c:pt idx="37">
                  <c:v>22.464840821184172</c:v>
                </c:pt>
                <c:pt idx="38">
                  <c:v>18.507543766578255</c:v>
                </c:pt>
                <c:pt idx="39">
                  <c:v>20.842207220428531</c:v>
                </c:pt>
                <c:pt idx="40">
                  <c:v>35.233551754131639</c:v>
                </c:pt>
                <c:pt idx="41">
                  <c:v>21.203449157466586</c:v>
                </c:pt>
                <c:pt idx="42">
                  <c:v>61.033000000000001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9-475B-9BFA-7F167751546A}"/>
            </c:ext>
          </c:extLst>
        </c:ser>
        <c:ser>
          <c:idx val="1"/>
          <c:order val="1"/>
          <c:tx>
            <c:strRef>
              <c:f>'18. Mining and mfg returns'!$D$3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'18. Mining and mfg returns'!$A$4:$B$46</c:f>
              <c:multiLvlStrCache>
                <c:ptCount val="4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'18. Mining and mfg returns'!$D$4:$D$46</c:f>
              <c:numCache>
                <c:formatCode>_ * #\ ##0_ ;_ * \-#\ ##0_ ;_ * "-"??_ ;_ @_ </c:formatCode>
                <c:ptCount val="43"/>
                <c:pt idx="0">
                  <c:v>45.413660757067568</c:v>
                </c:pt>
                <c:pt idx="1">
                  <c:v>47.281936402467963</c:v>
                </c:pt>
                <c:pt idx="2">
                  <c:v>46.343559322033904</c:v>
                </c:pt>
                <c:pt idx="3">
                  <c:v>60.628720112517577</c:v>
                </c:pt>
                <c:pt idx="4">
                  <c:v>48.913834642032334</c:v>
                </c:pt>
                <c:pt idx="5">
                  <c:v>48.759423129251708</c:v>
                </c:pt>
                <c:pt idx="6">
                  <c:v>54.321330951317556</c:v>
                </c:pt>
                <c:pt idx="7">
                  <c:v>64.532388349514562</c:v>
                </c:pt>
                <c:pt idx="8">
                  <c:v>59.755090909090917</c:v>
                </c:pt>
                <c:pt idx="9">
                  <c:v>55.596318766066844</c:v>
                </c:pt>
                <c:pt idx="10">
                  <c:v>57.101322292993636</c:v>
                </c:pt>
                <c:pt idx="11">
                  <c:v>55.721168267223398</c:v>
                </c:pt>
                <c:pt idx="12">
                  <c:v>55.243383477188644</c:v>
                </c:pt>
                <c:pt idx="13">
                  <c:v>48.251113995943207</c:v>
                </c:pt>
                <c:pt idx="14">
                  <c:v>69.374437874550537</c:v>
                </c:pt>
                <c:pt idx="15">
                  <c:v>58.652479397781299</c:v>
                </c:pt>
                <c:pt idx="16">
                  <c:v>55.648888975155288</c:v>
                </c:pt>
                <c:pt idx="17">
                  <c:v>41.030954337899558</c:v>
                </c:pt>
                <c:pt idx="18">
                  <c:v>53.404289256198354</c:v>
                </c:pt>
                <c:pt idx="19">
                  <c:v>44.037040479760122</c:v>
                </c:pt>
                <c:pt idx="20">
                  <c:v>44.943565573770499</c:v>
                </c:pt>
                <c:pt idx="21">
                  <c:v>56.178185724690458</c:v>
                </c:pt>
                <c:pt idx="22">
                  <c:v>54.379256916996056</c:v>
                </c:pt>
                <c:pt idx="23">
                  <c:v>39.961772532188846</c:v>
                </c:pt>
                <c:pt idx="24">
                  <c:v>45.055707692307699</c:v>
                </c:pt>
                <c:pt idx="25">
                  <c:v>51.655593846153849</c:v>
                </c:pt>
                <c:pt idx="26">
                  <c:v>102.57728470111449</c:v>
                </c:pt>
                <c:pt idx="27">
                  <c:v>47.430726664436278</c:v>
                </c:pt>
                <c:pt idx="28">
                  <c:v>34.203432512315274</c:v>
                </c:pt>
                <c:pt idx="29">
                  <c:v>52.597199999999994</c:v>
                </c:pt>
                <c:pt idx="30">
                  <c:v>63.799326458266194</c:v>
                </c:pt>
                <c:pt idx="31">
                  <c:v>59.26036677316295</c:v>
                </c:pt>
                <c:pt idx="32">
                  <c:v>34.088396214511043</c:v>
                </c:pt>
                <c:pt idx="33">
                  <c:v>31.00154133001865</c:v>
                </c:pt>
                <c:pt idx="34">
                  <c:v>55.688847145488026</c:v>
                </c:pt>
                <c:pt idx="35">
                  <c:v>43.684325581395349</c:v>
                </c:pt>
                <c:pt idx="36">
                  <c:v>33.421097184377842</c:v>
                </c:pt>
                <c:pt idx="37">
                  <c:v>33.271069324605769</c:v>
                </c:pt>
                <c:pt idx="38">
                  <c:v>31.942832891246692</c:v>
                </c:pt>
                <c:pt idx="39">
                  <c:v>24.132811857939537</c:v>
                </c:pt>
                <c:pt idx="40">
                  <c:v>13.424044070745145</c:v>
                </c:pt>
                <c:pt idx="41">
                  <c:v>-4.1250383497966299</c:v>
                </c:pt>
                <c:pt idx="42">
                  <c:v>41.264000000000003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9-475B-9BFA-7F1677515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billions of constant (Q3 2020) rand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Manufacturing sales'!$C$5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rgbClr val="ED7D31"/>
            </a:solidFill>
            <a:ln w="9525">
              <a:solidFill>
                <a:srgbClr val="1F497D">
                  <a:lumMod val="50000"/>
                </a:srgbClr>
              </a:solidFill>
            </a:ln>
          </c:spPr>
          <c:invertIfNegative val="0"/>
          <c:cat>
            <c:strRef>
              <c:f>'3. Manufacturing sales'!$B$6:$B$19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'3. Manufacturing sales'!$C$6:$C$19</c:f>
              <c:numCache>
                <c:formatCode>_-* #\ ##0_-;\-* #\ ##0_-;_-* "-"??_-;_-@_-</c:formatCode>
                <c:ptCount val="14"/>
                <c:pt idx="0">
                  <c:v>48.402833212802769</c:v>
                </c:pt>
                <c:pt idx="1">
                  <c:v>32.747279386678201</c:v>
                </c:pt>
                <c:pt idx="2">
                  <c:v>28.35210714446367</c:v>
                </c:pt>
                <c:pt idx="3">
                  <c:v>25.766650571799307</c:v>
                </c:pt>
                <c:pt idx="4">
                  <c:v>9.2694030155709353</c:v>
                </c:pt>
                <c:pt idx="5">
                  <c:v>10.204055506920415</c:v>
                </c:pt>
                <c:pt idx="6">
                  <c:v>9.3207619005190327</c:v>
                </c:pt>
                <c:pt idx="7">
                  <c:v>4.9720143382352946</c:v>
                </c:pt>
                <c:pt idx="8">
                  <c:v>4.6550076202422144</c:v>
                </c:pt>
                <c:pt idx="9">
                  <c:v>7.5171646046712803</c:v>
                </c:pt>
                <c:pt idx="10">
                  <c:v>4.128873065743945</c:v>
                </c:pt>
                <c:pt idx="11">
                  <c:v>4.139528557958478</c:v>
                </c:pt>
                <c:pt idx="12">
                  <c:v>2.1011224636678203</c:v>
                </c:pt>
                <c:pt idx="13">
                  <c:v>1.3426224083044982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A-4C40-9EC5-9138C1A40D2A}"/>
            </c:ext>
          </c:extLst>
        </c:ser>
        <c:ser>
          <c:idx val="2"/>
          <c:order val="1"/>
          <c:tx>
            <c:strRef>
              <c:f>'3. Manufacturing sales'!$D$5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44546A">
                <a:lumMod val="50000"/>
              </a:srgbClr>
            </a:solidFill>
            <a:ln w="19050">
              <a:noFill/>
            </a:ln>
          </c:spPr>
          <c:invertIfNegative val="0"/>
          <c:cat>
            <c:strRef>
              <c:f>'3. Manufacturing sales'!$B$6:$B$19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'3. Manufacturing sales'!$D$6:$D$19</c:f>
              <c:numCache>
                <c:formatCode>_-* #\ ##0_-;\-* #\ ##0_-;_-* "-"??_-;_-@_-</c:formatCode>
                <c:ptCount val="14"/>
                <c:pt idx="0">
                  <c:v>37.399287009565221</c:v>
                </c:pt>
                <c:pt idx="1">
                  <c:v>15.509551846086957</c:v>
                </c:pt>
                <c:pt idx="2">
                  <c:v>21.645574535652173</c:v>
                </c:pt>
                <c:pt idx="3">
                  <c:v>6.0015358852173906</c:v>
                </c:pt>
                <c:pt idx="4">
                  <c:v>7.1897027452173914</c:v>
                </c:pt>
                <c:pt idx="5">
                  <c:v>4.7006261634782609</c:v>
                </c:pt>
                <c:pt idx="6">
                  <c:v>3.9935193408695651</c:v>
                </c:pt>
                <c:pt idx="7">
                  <c:v>0.76898551739130439</c:v>
                </c:pt>
                <c:pt idx="8">
                  <c:v>1.4474944834782606</c:v>
                </c:pt>
                <c:pt idx="9">
                  <c:v>1.3697054626086955</c:v>
                </c:pt>
                <c:pt idx="10">
                  <c:v>2.1095789017391304</c:v>
                </c:pt>
                <c:pt idx="11">
                  <c:v>1.2291314947826086</c:v>
                </c:pt>
                <c:pt idx="12">
                  <c:v>0.64280670347826085</c:v>
                </c:pt>
                <c:pt idx="13">
                  <c:v>0.15278597043478259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EA-4C40-9EC5-9138C1A40D2A}"/>
            </c:ext>
          </c:extLst>
        </c:ser>
        <c:ser>
          <c:idx val="1"/>
          <c:order val="2"/>
          <c:tx>
            <c:strRef>
              <c:f>'3. Manufacturing sales'!$E$5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cat>
            <c:strRef>
              <c:f>'3. Manufacturing sales'!$B$6:$B$19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'3. Manufacturing sales'!$E$6:$E$19</c:f>
              <c:numCache>
                <c:formatCode>_-* #\ ##0_-;\-* #\ ##0_-;_-* "-"??_-;_-@_-</c:formatCode>
                <c:ptCount val="14"/>
                <c:pt idx="0">
                  <c:v>40.457666838145236</c:v>
                </c:pt>
                <c:pt idx="1">
                  <c:v>26.185053716535435</c:v>
                </c:pt>
                <c:pt idx="2">
                  <c:v>25.672268411198601</c:v>
                </c:pt>
                <c:pt idx="3">
                  <c:v>11.556192274715659</c:v>
                </c:pt>
                <c:pt idx="4">
                  <c:v>7.6381102834645667</c:v>
                </c:pt>
                <c:pt idx="5">
                  <c:v>8.4493817471566057</c:v>
                </c:pt>
                <c:pt idx="6">
                  <c:v>5.2653374689413823</c:v>
                </c:pt>
                <c:pt idx="7">
                  <c:v>3.1301250043744533</c:v>
                </c:pt>
                <c:pt idx="8">
                  <c:v>2.8597582134733157</c:v>
                </c:pt>
                <c:pt idx="9">
                  <c:v>3.7438437480314959</c:v>
                </c:pt>
                <c:pt idx="10">
                  <c:v>3.5824670393700786</c:v>
                </c:pt>
                <c:pt idx="11">
                  <c:v>2.5163345459317585</c:v>
                </c:pt>
                <c:pt idx="12">
                  <c:v>1.5808223385826774</c:v>
                </c:pt>
                <c:pt idx="13">
                  <c:v>0.36893978827646545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EA-4C40-9EC5-9138C1A40D2A}"/>
            </c:ext>
          </c:extLst>
        </c:ser>
        <c:ser>
          <c:idx val="3"/>
          <c:order val="3"/>
          <c:tx>
            <c:strRef>
              <c:f>'3. Manufacturing sales'!$F$5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cat>
            <c:strRef>
              <c:f>'3. Manufacturing sales'!$B$6:$B$19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'3. Manufacturing sales'!$F$6:$F$19</c:f>
              <c:numCache>
                <c:formatCode>_-* #\ ##0_-;\-* #\ ##0_-;_-* "-"??_-;_-@_-</c:formatCode>
                <c:ptCount val="14"/>
                <c:pt idx="0">
                  <c:v>48.243868993907739</c:v>
                </c:pt>
                <c:pt idx="1">
                  <c:v>28.959165299390776</c:v>
                </c:pt>
                <c:pt idx="2">
                  <c:v>27.067086124456047</c:v>
                </c:pt>
                <c:pt idx="3">
                  <c:v>17.6502801897302</c:v>
                </c:pt>
                <c:pt idx="4">
                  <c:v>8.7653018929503919</c:v>
                </c:pt>
                <c:pt idx="5">
                  <c:v>8.6840167597911222</c:v>
                </c:pt>
                <c:pt idx="6">
                  <c:v>7.8636104908616176</c:v>
                </c:pt>
                <c:pt idx="7">
                  <c:v>4.5273968398607485</c:v>
                </c:pt>
                <c:pt idx="8">
                  <c:v>3.9196661845082676</c:v>
                </c:pt>
                <c:pt idx="9">
                  <c:v>4.2276024952132278</c:v>
                </c:pt>
                <c:pt idx="10">
                  <c:v>3.9024211966927758</c:v>
                </c:pt>
                <c:pt idx="11">
                  <c:v>2.6041124003481286</c:v>
                </c:pt>
                <c:pt idx="12">
                  <c:v>1.9533941209747605</c:v>
                </c:pt>
                <c:pt idx="13">
                  <c:v>0.71615873281114018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EA-4C40-9EC5-9138C1A40D2A}"/>
            </c:ext>
          </c:extLst>
        </c:ser>
        <c:ser>
          <c:idx val="4"/>
          <c:order val="4"/>
          <c:tx>
            <c:strRef>
              <c:f>'3. Manufacturing sales'!$G$5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strRef>
              <c:f>'3. Manufacturing sales'!$B$6:$B$19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'3. Manufacturing sales'!$G$6:$G$19</c:f>
              <c:numCache>
                <c:formatCode>_-* #\ ##0_-;\-* #\ ##0_-;_-* "-"??_-;_-@_-</c:formatCode>
                <c:ptCount val="14"/>
                <c:pt idx="0">
                  <c:v>43.461041271477661</c:v>
                </c:pt>
                <c:pt idx="1">
                  <c:v>30.863920242268041</c:v>
                </c:pt>
                <c:pt idx="2">
                  <c:v>27.649638921821303</c:v>
                </c:pt>
                <c:pt idx="3">
                  <c:v>24.056005914089344</c:v>
                </c:pt>
                <c:pt idx="4">
                  <c:v>9.2651320764604801</c:v>
                </c:pt>
                <c:pt idx="5">
                  <c:v>10.217242599656357</c:v>
                </c:pt>
                <c:pt idx="6">
                  <c:v>7.8401518341924401</c:v>
                </c:pt>
                <c:pt idx="7">
                  <c:v>5.2696418479381437</c:v>
                </c:pt>
                <c:pt idx="8">
                  <c:v>4.1322185627147761</c:v>
                </c:pt>
                <c:pt idx="9">
                  <c:v>4.8624748865979379</c:v>
                </c:pt>
                <c:pt idx="10">
                  <c:v>4.2698070386597937</c:v>
                </c:pt>
                <c:pt idx="11">
                  <c:v>2.8993487173539516</c:v>
                </c:pt>
                <c:pt idx="12">
                  <c:v>1.888050381443299</c:v>
                </c:pt>
                <c:pt idx="13">
                  <c:v>0.85645471219931268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EA-4C40-9EC5-9138C1A40D2A}"/>
            </c:ext>
          </c:extLst>
        </c:ser>
        <c:ser>
          <c:idx val="5"/>
          <c:order val="5"/>
          <c:tx>
            <c:strRef>
              <c:f>'3. Manufacturing sales'!$H$5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cat>
            <c:strRef>
              <c:f>'3. Manufacturing sales'!$B$6:$B$19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'3. Manufacturing sales'!$H$6:$H$19</c:f>
              <c:numCache>
                <c:formatCode>_-* #\ ##0_-;\-* #\ ##0_-;_-* "-"??_-;_-@_-</c:formatCode>
                <c:ptCount val="14"/>
                <c:pt idx="0">
                  <c:v>48.623973229381441</c:v>
                </c:pt>
                <c:pt idx="1">
                  <c:v>30.147096213917525</c:v>
                </c:pt>
                <c:pt idx="2">
                  <c:v>28.297362884020615</c:v>
                </c:pt>
                <c:pt idx="3">
                  <c:v>23.934296359106529</c:v>
                </c:pt>
                <c:pt idx="4">
                  <c:v>9.5239039621993111</c:v>
                </c:pt>
                <c:pt idx="5">
                  <c:v>9.7481786305841922</c:v>
                </c:pt>
                <c:pt idx="6">
                  <c:v>8.5521238582474215</c:v>
                </c:pt>
                <c:pt idx="7">
                  <c:v>5.5118990120274907</c:v>
                </c:pt>
                <c:pt idx="8">
                  <c:v>4.7282062560137454</c:v>
                </c:pt>
                <c:pt idx="9">
                  <c:v>6.8342809424398627</c:v>
                </c:pt>
                <c:pt idx="10">
                  <c:v>4.29990495790378</c:v>
                </c:pt>
                <c:pt idx="11">
                  <c:v>3.3736017053264602</c:v>
                </c:pt>
                <c:pt idx="12">
                  <c:v>1.8741120609965634</c:v>
                </c:pt>
                <c:pt idx="13">
                  <c:v>1.1091673771477664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EA-4C40-9EC5-9138C1A40D2A}"/>
            </c:ext>
          </c:extLst>
        </c:ser>
        <c:ser>
          <c:idx val="6"/>
          <c:order val="6"/>
          <c:tx>
            <c:strRef>
              <c:f>'3. Manufacturing sales'!$I$5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</c:spPr>
          <c:invertIfNegative val="0"/>
          <c:cat>
            <c:strRef>
              <c:f>'3. Manufacturing sales'!$B$6:$B$19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'3. Manufacturing sales'!$I$6:$I$19</c:f>
              <c:numCache>
                <c:formatCode>_-* #\ ##0_-;\-* #\ ##0_-;_-* "-"??_-;_-@_-</c:formatCode>
                <c:ptCount val="14"/>
                <c:pt idx="0">
                  <c:v>49.882440780445968</c:v>
                </c:pt>
                <c:pt idx="1">
                  <c:v>33.649806789879932</c:v>
                </c:pt>
                <c:pt idx="2">
                  <c:v>28.043397234991424</c:v>
                </c:pt>
                <c:pt idx="3">
                  <c:v>25.280015998284735</c:v>
                </c:pt>
                <c:pt idx="4">
                  <c:v>9.4283316072041163</c:v>
                </c:pt>
                <c:pt idx="5">
                  <c:v>10.454241091766724</c:v>
                </c:pt>
                <c:pt idx="6">
                  <c:v>8.5817066415094345</c:v>
                </c:pt>
                <c:pt idx="7">
                  <c:v>5.7414391114922809</c:v>
                </c:pt>
                <c:pt idx="8">
                  <c:v>4.8089635763293312</c:v>
                </c:pt>
                <c:pt idx="9">
                  <c:v>6.3847569854202399</c:v>
                </c:pt>
                <c:pt idx="10">
                  <c:v>4.5544709296740988</c:v>
                </c:pt>
                <c:pt idx="11">
                  <c:v>3.1482244614065178</c:v>
                </c:pt>
                <c:pt idx="12">
                  <c:v>1.9904439065180102</c:v>
                </c:pt>
                <c:pt idx="13">
                  <c:v>1.2682793687821612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EA-4C40-9EC5-9138C1A40D2A}"/>
            </c:ext>
          </c:extLst>
        </c:ser>
        <c:ser>
          <c:idx val="7"/>
          <c:order val="7"/>
          <c:tx>
            <c:strRef>
              <c:f>'3. Manufacturing sales'!$J$5</c:f>
              <c:strCache>
                <c:ptCount val="1"/>
                <c:pt idx="0">
                  <c:v>October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'3. Manufacturing sales'!$B$6:$B$19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'3. Manufacturing sales'!$J$6:$J$19</c:f>
              <c:numCache>
                <c:formatCode>_-* #\ ##0_-;\-* #\ ##0_-;_-* "-"??_-;_-@_-</c:formatCode>
                <c:ptCount val="14"/>
                <c:pt idx="0">
                  <c:v>51.514541768835613</c:v>
                </c:pt>
                <c:pt idx="1">
                  <c:v>33.705295029965754</c:v>
                </c:pt>
                <c:pt idx="2">
                  <c:v>28.810359631849316</c:v>
                </c:pt>
                <c:pt idx="3">
                  <c:v>27.887489318493149</c:v>
                </c:pt>
                <c:pt idx="4">
                  <c:v>9.2541443116438344</c:v>
                </c:pt>
                <c:pt idx="5">
                  <c:v>10.435018608732877</c:v>
                </c:pt>
                <c:pt idx="6">
                  <c:v>7.517549306506849</c:v>
                </c:pt>
                <c:pt idx="7">
                  <c:v>5.7995128467465751</c:v>
                </c:pt>
                <c:pt idx="8">
                  <c:v>4.5883679991438351</c:v>
                </c:pt>
                <c:pt idx="9">
                  <c:v>7.3764618527397259</c:v>
                </c:pt>
                <c:pt idx="10">
                  <c:v>4.8185286506849314</c:v>
                </c:pt>
                <c:pt idx="11">
                  <c:v>3.7734783227739723</c:v>
                </c:pt>
                <c:pt idx="12">
                  <c:v>2.2751006095890411</c:v>
                </c:pt>
                <c:pt idx="13">
                  <c:v>1.2500104178082192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EA-4C40-9EC5-9138C1A40D2A}"/>
            </c:ext>
          </c:extLst>
        </c:ser>
        <c:ser>
          <c:idx val="8"/>
          <c:order val="8"/>
          <c:tx>
            <c:strRef>
              <c:f>'3. Manufacturing sales'!$K$5</c:f>
              <c:strCache>
                <c:ptCount val="1"/>
                <c:pt idx="0">
                  <c:v>November</c:v>
                </c:pt>
              </c:strCache>
            </c:strRef>
          </c:tx>
          <c:spPr>
            <a:ln w="9525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strRef>
              <c:f>'3. Manufacturing sales'!$B$6:$B$19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'3. Manufacturing sales'!$K$6:$K$19</c:f>
              <c:numCache>
                <c:formatCode>_-* #\ ##0_-;\-* #\ ##0_-;_-* "-"??_-;_-@_-</c:formatCode>
                <c:ptCount val="14"/>
                <c:pt idx="0">
                  <c:v>50.472966</c:v>
                </c:pt>
                <c:pt idx="1">
                  <c:v>34.484786999999997</c:v>
                </c:pt>
                <c:pt idx="2">
                  <c:v>29.168510000000001</c:v>
                </c:pt>
                <c:pt idx="3">
                  <c:v>28.249831</c:v>
                </c:pt>
                <c:pt idx="4">
                  <c:v>9.3727719999999994</c:v>
                </c:pt>
                <c:pt idx="5">
                  <c:v>10.83196</c:v>
                </c:pt>
                <c:pt idx="6">
                  <c:v>7.7389510000000001</c:v>
                </c:pt>
                <c:pt idx="7">
                  <c:v>5.9133950000000004</c:v>
                </c:pt>
                <c:pt idx="8">
                  <c:v>4.6681800000000004</c:v>
                </c:pt>
                <c:pt idx="9">
                  <c:v>7.3815470000000003</c:v>
                </c:pt>
                <c:pt idx="10">
                  <c:v>4.8253339999999998</c:v>
                </c:pt>
                <c:pt idx="11">
                  <c:v>4.1859970000000004</c:v>
                </c:pt>
                <c:pt idx="12">
                  <c:v>2.1109339999999999</c:v>
                </c:pt>
                <c:pt idx="13">
                  <c:v>1.24716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EA-4C40-9EC5-9138C1A40D2A}"/>
            </c:ext>
          </c:extLst>
        </c:ser>
        <c:ser>
          <c:idx val="9"/>
          <c:order val="9"/>
          <c:tx>
            <c:strRef>
              <c:f>'3. Manufacturing sales'!$L$5</c:f>
              <c:strCache>
                <c:ptCount val="1"/>
                <c:pt idx="0">
                  <c:v>December</c:v>
                </c:pt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invertIfNegative val="0"/>
          <c:cat>
            <c:strRef>
              <c:f>'3. Manufacturing sales'!$B$6:$B$19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'3. Manufacturing sales'!$L$6:$L$19</c:f>
              <c:numCache>
                <c:formatCode>_-* #\ ##0_-;\-* #\ ##0_-;_-* "-"??_-;_-@_-</c:formatCode>
                <c:ptCount val="14"/>
                <c:pt idx="0">
                  <c:v>50.365443999999997</c:v>
                </c:pt>
                <c:pt idx="1">
                  <c:v>33.947077</c:v>
                </c:pt>
                <c:pt idx="2">
                  <c:v>29.402898</c:v>
                </c:pt>
                <c:pt idx="3">
                  <c:v>27.575517000000001</c:v>
                </c:pt>
                <c:pt idx="4">
                  <c:v>9.5623210000000007</c:v>
                </c:pt>
                <c:pt idx="5">
                  <c:v>10.663373</c:v>
                </c:pt>
                <c:pt idx="6">
                  <c:v>7.2292810000000003</c:v>
                </c:pt>
                <c:pt idx="7">
                  <c:v>6.220669</c:v>
                </c:pt>
                <c:pt idx="8">
                  <c:v>4.8400860000000003</c:v>
                </c:pt>
                <c:pt idx="9">
                  <c:v>7.5562909999999999</c:v>
                </c:pt>
                <c:pt idx="10">
                  <c:v>5.0025779999999997</c:v>
                </c:pt>
                <c:pt idx="11">
                  <c:v>4.1957110000000002</c:v>
                </c:pt>
                <c:pt idx="12">
                  <c:v>2.2534749999999999</c:v>
                </c:pt>
                <c:pt idx="13">
                  <c:v>1.246988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EA-4C40-9EC5-9138C1A40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661696"/>
        <c:axId val="269663232"/>
      </c:barChart>
      <c:lineChart>
        <c:grouping val="standard"/>
        <c:varyColors val="0"/>
        <c:ser>
          <c:idx val="10"/>
          <c:order val="10"/>
          <c:tx>
            <c:strRef>
              <c:f>'3. Manufacturing sales'!$M$5</c:f>
              <c:strCache>
                <c:ptCount val="1"/>
                <c:pt idx="0">
                  <c:v>December as % of March (right axis)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36"/>
            <c:spPr>
              <a:solidFill>
                <a:sysClr val="window" lastClr="FFFFFF">
                  <a:alpha val="62000"/>
                </a:sysClr>
              </a:solidFill>
              <a:ln>
                <a:solidFill>
                  <a:srgbClr val="5B9BD5">
                    <a:lumMod val="50000"/>
                  </a:srgb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'3. Manufacturing sales'!$B$6:$B$19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'3. Manufacturing sales'!$M$6:$M$19</c:f>
              <c:numCache>
                <c:formatCode>0%</c:formatCode>
                <c:ptCount val="14"/>
                <c:pt idx="0">
                  <c:v>1.0405474361091347</c:v>
                </c:pt>
                <c:pt idx="1">
                  <c:v>1.0366380852331165</c:v>
                </c:pt>
                <c:pt idx="2">
                  <c:v>1.0370621784893161</c:v>
                </c:pt>
                <c:pt idx="3">
                  <c:v>1.0702018457214784</c:v>
                </c:pt>
                <c:pt idx="4">
                  <c:v>1.0316005231336922</c:v>
                </c:pt>
                <c:pt idx="5">
                  <c:v>1.0450132295701522</c:v>
                </c:pt>
                <c:pt idx="6">
                  <c:v>0.77561052166748656</c:v>
                </c:pt>
                <c:pt idx="7">
                  <c:v>1.2511365770131482</c:v>
                </c:pt>
                <c:pt idx="8">
                  <c:v>1.0397589853457976</c:v>
                </c:pt>
                <c:pt idx="9">
                  <c:v>1.005204940610773</c:v>
                </c:pt>
                <c:pt idx="10">
                  <c:v>1.2116085722045877</c:v>
                </c:pt>
                <c:pt idx="11">
                  <c:v>1.0135721837051972</c:v>
                </c:pt>
                <c:pt idx="12">
                  <c:v>1.0725100697206509</c:v>
                </c:pt>
                <c:pt idx="13">
                  <c:v>0.9287704363393815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EA-4C40-9EC5-9138C1A40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413664"/>
        <c:axId val="1946397024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billions of constant (2020) rand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valAx>
        <c:axId val="1946397024"/>
        <c:scaling>
          <c:orientation val="minMax"/>
          <c:max val="1.2"/>
        </c:scaling>
        <c:delete val="0"/>
        <c:axPos val="r"/>
        <c:numFmt formatCode="0%" sourceLinked="1"/>
        <c:majorTickMark val="out"/>
        <c:minorTickMark val="none"/>
        <c:tickLblPos val="nextTo"/>
        <c:crossAx val="1946413664"/>
        <c:crosses val="max"/>
        <c:crossBetween val="between"/>
      </c:valAx>
      <c:catAx>
        <c:axId val="194641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63970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Mining production &amp; sales'!$C$5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sales'!$C$6:$C$13</c:f>
              <c:numCache>
                <c:formatCode>_-* #\ ##0_-;\-* #\ ##0_-;_-* "-"??_-;_-@_-</c:formatCode>
                <c:ptCount val="8"/>
                <c:pt idx="0">
                  <c:v>107.61086765994742</c:v>
                </c:pt>
                <c:pt idx="1">
                  <c:v>100</c:v>
                </c:pt>
                <c:pt idx="2">
                  <c:v>66.813321647677469</c:v>
                </c:pt>
                <c:pt idx="3">
                  <c:v>100</c:v>
                </c:pt>
                <c:pt idx="4">
                  <c:v>57.356704645048204</c:v>
                </c:pt>
                <c:pt idx="5">
                  <c:v>100</c:v>
                </c:pt>
                <c:pt idx="6">
                  <c:v>141.64767747589832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C-40F7-908D-57D8B68E474F}"/>
            </c:ext>
          </c:extLst>
        </c:ser>
        <c:ser>
          <c:idx val="1"/>
          <c:order val="1"/>
          <c:tx>
            <c:strRef>
              <c:f>'4. Mining production &amp; sales'!$D$5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sales'!$D$6:$D$13</c:f>
              <c:numCache>
                <c:formatCode>_-* #\ ##0_-;\-* #\ ##0_-;_-* "-"??_-;_-@_-</c:formatCode>
                <c:ptCount val="8"/>
                <c:pt idx="0">
                  <c:v>98.513020833333314</c:v>
                </c:pt>
                <c:pt idx="1">
                  <c:v>104.15430267062315</c:v>
                </c:pt>
                <c:pt idx="2">
                  <c:v>54.291666666666657</c:v>
                </c:pt>
                <c:pt idx="3">
                  <c:v>103.43461030383089</c:v>
                </c:pt>
                <c:pt idx="4">
                  <c:v>57.355902777777764</c:v>
                </c:pt>
                <c:pt idx="5">
                  <c:v>74.723247232472318</c:v>
                </c:pt>
                <c:pt idx="6">
                  <c:v>102.95138888888887</c:v>
                </c:pt>
                <c:pt idx="7">
                  <c:v>99.374441465594273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BC-40F7-908D-57D8B68E474F}"/>
            </c:ext>
          </c:extLst>
        </c:ser>
        <c:ser>
          <c:idx val="2"/>
          <c:order val="2"/>
          <c:tx>
            <c:strRef>
              <c:f>'4. Mining production &amp; sales'!$E$5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sales'!$E$6:$E$13</c:f>
              <c:numCache>
                <c:formatCode>_-* #\ ##0_-;\-* #\ ##0_-;_-* "-"??_-;_-@_-</c:formatCode>
                <c:ptCount val="8"/>
                <c:pt idx="0">
                  <c:v>96.336505190311414</c:v>
                </c:pt>
                <c:pt idx="1">
                  <c:v>100.69238377843719</c:v>
                </c:pt>
                <c:pt idx="2">
                  <c:v>52.268166089965398</c:v>
                </c:pt>
                <c:pt idx="3">
                  <c:v>98.811096433289293</c:v>
                </c:pt>
                <c:pt idx="4">
                  <c:v>62.838235294117659</c:v>
                </c:pt>
                <c:pt idx="5">
                  <c:v>65.959409594095945</c:v>
                </c:pt>
                <c:pt idx="6">
                  <c:v>152.23875432525952</c:v>
                </c:pt>
                <c:pt idx="7">
                  <c:v>54.512957998212684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BC-40F7-908D-57D8B68E474F}"/>
            </c:ext>
          </c:extLst>
        </c:ser>
        <c:ser>
          <c:idx val="3"/>
          <c:order val="3"/>
          <c:tx>
            <c:strRef>
              <c:f>'4. Mining production &amp; sales'!$F$5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sales'!$F$6:$F$13</c:f>
              <c:numCache>
                <c:formatCode>_-* #\ ##0_-;\-* #\ ##0_-;_-* "-"??_-;_-@_-</c:formatCode>
                <c:ptCount val="8"/>
                <c:pt idx="0">
                  <c:v>86.733913043478253</c:v>
                </c:pt>
                <c:pt idx="1">
                  <c:v>92.482690405539074</c:v>
                </c:pt>
                <c:pt idx="2">
                  <c:v>42.862608695652177</c:v>
                </c:pt>
                <c:pt idx="3">
                  <c:v>43.72523117569353</c:v>
                </c:pt>
                <c:pt idx="4">
                  <c:v>45.23391304347826</c:v>
                </c:pt>
                <c:pt idx="5">
                  <c:v>36.070110701107012</c:v>
                </c:pt>
                <c:pt idx="6">
                  <c:v>59.303478260869568</c:v>
                </c:pt>
                <c:pt idx="7">
                  <c:v>32.529043789097408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BC-40F7-908D-57D8B68E474F}"/>
            </c:ext>
          </c:extLst>
        </c:ser>
        <c:ser>
          <c:idx val="4"/>
          <c:order val="4"/>
          <c:tx>
            <c:strRef>
              <c:f>'4. Mining production &amp; sales'!$G$5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1">
                <a:shade val="83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sales'!$G$6:$G$13</c:f>
              <c:numCache>
                <c:formatCode>_-* #\ ##0_-;\-* #\ ##0_-;_-* "-"??_-;_-@_-</c:formatCode>
                <c:ptCount val="8"/>
                <c:pt idx="0">
                  <c:v>86.536307961504804</c:v>
                </c:pt>
                <c:pt idx="1">
                  <c:v>98.021760633036592</c:v>
                </c:pt>
                <c:pt idx="2">
                  <c:v>63.067366579177609</c:v>
                </c:pt>
                <c:pt idx="3">
                  <c:v>69.749009247027743</c:v>
                </c:pt>
                <c:pt idx="4">
                  <c:v>49.510061242344712</c:v>
                </c:pt>
                <c:pt idx="5">
                  <c:v>54.059040590405907</c:v>
                </c:pt>
                <c:pt idx="6">
                  <c:v>93.624671916010485</c:v>
                </c:pt>
                <c:pt idx="7">
                  <c:v>68.275245755138513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BC-40F7-908D-57D8B68E474F}"/>
            </c:ext>
          </c:extLst>
        </c:ser>
        <c:ser>
          <c:idx val="5"/>
          <c:order val="5"/>
          <c:tx>
            <c:strRef>
              <c:f>'4. Mining production &amp; sales'!$H$5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sales'!$H$6:$H$13</c:f>
              <c:numCache>
                <c:formatCode>_-* #\ ##0_-;\-* #\ ##0_-;_-* "-"??_-;_-@_-</c:formatCode>
                <c:ptCount val="8"/>
                <c:pt idx="0">
                  <c:v>91.97389033942558</c:v>
                </c:pt>
                <c:pt idx="1">
                  <c:v>90.405539070227505</c:v>
                </c:pt>
                <c:pt idx="2">
                  <c:v>28.043516100957355</c:v>
                </c:pt>
                <c:pt idx="3">
                  <c:v>77.542932628797885</c:v>
                </c:pt>
                <c:pt idx="4">
                  <c:v>52.03394255874673</c:v>
                </c:pt>
                <c:pt idx="5">
                  <c:v>62.730627306273057</c:v>
                </c:pt>
                <c:pt idx="6">
                  <c:v>95.457789382071368</c:v>
                </c:pt>
                <c:pt idx="7">
                  <c:v>48.972296693476316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BC-40F7-908D-57D8B68E474F}"/>
            </c:ext>
          </c:extLst>
        </c:ser>
        <c:ser>
          <c:idx val="6"/>
          <c:order val="6"/>
          <c:tx>
            <c:strRef>
              <c:f>'4. Mining production &amp; sales'!$I$5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sales'!$I$6:$I$13</c:f>
              <c:numCache>
                <c:formatCode>_-* #\ ##0_-;\-* #\ ##0_-;_-* "-"??_-;_-@_-</c:formatCode>
                <c:ptCount val="8"/>
                <c:pt idx="0">
                  <c:v>94.522336769759434</c:v>
                </c:pt>
                <c:pt idx="1">
                  <c:v>96.340257171117713</c:v>
                </c:pt>
                <c:pt idx="2">
                  <c:v>76.44329896907216</c:v>
                </c:pt>
                <c:pt idx="3">
                  <c:v>86.657859973579903</c:v>
                </c:pt>
                <c:pt idx="4">
                  <c:v>58.35137457044673</c:v>
                </c:pt>
                <c:pt idx="5">
                  <c:v>73.431734317343171</c:v>
                </c:pt>
                <c:pt idx="6">
                  <c:v>101.29381443298968</c:v>
                </c:pt>
                <c:pt idx="7">
                  <c:v>82.037533512064329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BC-40F7-908D-57D8B68E474F}"/>
            </c:ext>
          </c:extLst>
        </c:ser>
        <c:ser>
          <c:idx val="7"/>
          <c:order val="7"/>
          <c:tx>
            <c:strRef>
              <c:f>'4. Mining production &amp; sales'!$J$5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1">
                <a:tint val="8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sales'!$J$6:$J$13</c:f>
              <c:numCache>
                <c:formatCode>_-* #\ ##0_-;\-* #\ ##0_-;_-* "-"??_-;_-@_-</c:formatCode>
                <c:ptCount val="8"/>
                <c:pt idx="0">
                  <c:v>91.030927835051529</c:v>
                </c:pt>
                <c:pt idx="1">
                  <c:v>99.406528189910986</c:v>
                </c:pt>
                <c:pt idx="2">
                  <c:v>68.727663230240537</c:v>
                </c:pt>
                <c:pt idx="3">
                  <c:v>87.714663143989441</c:v>
                </c:pt>
                <c:pt idx="4">
                  <c:v>72.318728522336755</c:v>
                </c:pt>
                <c:pt idx="5">
                  <c:v>70.9409594095941</c:v>
                </c:pt>
                <c:pt idx="6">
                  <c:v>165.49312714776633</c:v>
                </c:pt>
                <c:pt idx="7">
                  <c:v>89.365504915102761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C-40F7-908D-57D8B68E474F}"/>
            </c:ext>
          </c:extLst>
        </c:ser>
        <c:ser>
          <c:idx val="8"/>
          <c:order val="8"/>
          <c:tx>
            <c:strRef>
              <c:f>'4. Mining production &amp; sales'!$K$5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1">
                <a:tint val="7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sales'!$K$6:$K$13</c:f>
              <c:numCache>
                <c:formatCode>_-* #\ ##0_-;\-* #\ ##0_-;_-* "-"??_-;_-@_-</c:formatCode>
                <c:ptCount val="8"/>
                <c:pt idx="0">
                  <c:v>94.807890222984568</c:v>
                </c:pt>
                <c:pt idx="1">
                  <c:v>97.032640949554889</c:v>
                </c:pt>
                <c:pt idx="2">
                  <c:v>55.302744425385939</c:v>
                </c:pt>
                <c:pt idx="3">
                  <c:v>96.03698811096433</c:v>
                </c:pt>
                <c:pt idx="4">
                  <c:v>82.085763293310478</c:v>
                </c:pt>
                <c:pt idx="5">
                  <c:v>68.357933579335779</c:v>
                </c:pt>
                <c:pt idx="6">
                  <c:v>199.85677530017153</c:v>
                </c:pt>
                <c:pt idx="7">
                  <c:v>85.254691689008041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BC-40F7-908D-57D8B68E474F}"/>
            </c:ext>
          </c:extLst>
        </c:ser>
        <c:ser>
          <c:idx val="9"/>
          <c:order val="9"/>
          <c:tx>
            <c:strRef>
              <c:f>'4. Mining production &amp; sales'!$L$5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sales'!$L$6:$L$13</c:f>
              <c:numCache>
                <c:formatCode>_-* #\ ##0_-;\-* #\ ##0_-;_-* "-"??_-;_-@_-</c:formatCode>
                <c:ptCount val="8"/>
                <c:pt idx="0">
                  <c:v>95.617294520547944</c:v>
                </c:pt>
                <c:pt idx="1">
                  <c:v>97.230464886251241</c:v>
                </c:pt>
                <c:pt idx="2">
                  <c:v>106.67636986301369</c:v>
                </c:pt>
                <c:pt idx="3">
                  <c:v>94.848084544253624</c:v>
                </c:pt>
                <c:pt idx="4">
                  <c:v>50.223458904109592</c:v>
                </c:pt>
                <c:pt idx="5">
                  <c:v>69.741697416974162</c:v>
                </c:pt>
                <c:pt idx="6">
                  <c:v>207.24229452054797</c:v>
                </c:pt>
                <c:pt idx="7">
                  <c:v>82.841823056300271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BC-40F7-908D-57D8B68E474F}"/>
            </c:ext>
          </c:extLst>
        </c:ser>
        <c:ser>
          <c:idx val="10"/>
          <c:order val="10"/>
          <c:tx>
            <c:strRef>
              <c:f>'4. Mining production &amp; sales'!$M$5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1">
                <a:tint val="52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sales'!$M$6:$M$13</c:f>
              <c:numCache>
                <c:formatCode>_-* #\ ##0_-;\-* #\ ##0_-;_-* "-"??_-;_-@_-</c:formatCode>
                <c:ptCount val="8"/>
                <c:pt idx="0">
                  <c:v>95.814688300597766</c:v>
                </c:pt>
                <c:pt idx="1">
                  <c:v>97.329376854599417</c:v>
                </c:pt>
                <c:pt idx="2">
                  <c:v>58.694278394534585</c:v>
                </c:pt>
                <c:pt idx="3">
                  <c:v>94.583883751651243</c:v>
                </c:pt>
                <c:pt idx="4">
                  <c:v>67.397096498719037</c:v>
                </c:pt>
                <c:pt idx="5">
                  <c:v>76.014760147601478</c:v>
                </c:pt>
                <c:pt idx="6">
                  <c:v>171.85994876174209</c:v>
                </c:pt>
                <c:pt idx="7">
                  <c:v>70.777479892761392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BC-40F7-908D-57D8B68E474F}"/>
            </c:ext>
          </c:extLst>
        </c:ser>
        <c:ser>
          <c:idx val="11"/>
          <c:order val="11"/>
          <c:tx>
            <c:strRef>
              <c:f>'4. Mining production &amp; sales'!$N$5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1">
                <a:tint val="41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'4. Mining production &amp; sales'!$N$6:$N$13</c:f>
              <c:numCache>
                <c:formatCode>_-* #\ ##0_-;\-* #\ ##0_-;_-* "-"??_-;_-@_-</c:formatCode>
                <c:ptCount val="8"/>
                <c:pt idx="0">
                  <c:v>90.720751494449175</c:v>
                </c:pt>
                <c:pt idx="1">
                  <c:v>94.065281899109792</c:v>
                </c:pt>
                <c:pt idx="2">
                  <c:v>72.389410760034153</c:v>
                </c:pt>
                <c:pt idx="3">
                  <c:v>98.414795244385729</c:v>
                </c:pt>
                <c:pt idx="4">
                  <c:v>89.530315969257046</c:v>
                </c:pt>
                <c:pt idx="5">
                  <c:v>95.20295202952029</c:v>
                </c:pt>
                <c:pt idx="6">
                  <c:v>150.58411614005124</c:v>
                </c:pt>
                <c:pt idx="7">
                  <c:v>69.168900804289549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7BC-40F7-908D-57D8B68E4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2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Mining unit prices'!$B$5</c:f>
              <c:strCache>
                <c:ptCount val="1"/>
                <c:pt idx="0">
                  <c:v>iron ore</c:v>
                </c:pt>
              </c:strCache>
            </c:strRef>
          </c:tx>
          <c:spPr>
            <a:ln w="41275">
              <a:solidFill>
                <a:sysClr val="windowText" lastClr="000000">
                  <a:alpha val="69000"/>
                </a:sysClr>
              </a:solidFill>
            </a:ln>
          </c:spPr>
          <c:marker>
            <c:symbol val="none"/>
          </c:marker>
          <c:cat>
            <c:strRef>
              <c:f>'5. Mining unit prices'!$A$6:$A$18</c:f>
              <c:strCache>
                <c:ptCount val="13"/>
                <c:pt idx="0">
                  <c:v>Jan 2020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 2021</c:v>
                </c:pt>
              </c:strCache>
            </c:strRef>
          </c:cat>
          <c:val>
            <c:numRef>
              <c:f>'5. Mining unit prices'!$B$6:$B$18</c:f>
              <c:numCache>
                <c:formatCode>_-* #\ ##0_-;\-* #\ ##0_-;_-* "-"??_-;_-@_-</c:formatCode>
                <c:ptCount val="13"/>
                <c:pt idx="0">
                  <c:v>100</c:v>
                </c:pt>
                <c:pt idx="1">
                  <c:v>105.68428976806665</c:v>
                </c:pt>
                <c:pt idx="2">
                  <c:v>116.34841173936917</c:v>
                </c:pt>
                <c:pt idx="3">
                  <c:v>127.368421072967</c:v>
                </c:pt>
                <c:pt idx="4">
                  <c:v>126.2204925263058</c:v>
                </c:pt>
                <c:pt idx="5">
                  <c:v>131.57794424609935</c:v>
                </c:pt>
                <c:pt idx="6">
                  <c:v>132.27481945289938</c:v>
                </c:pt>
                <c:pt idx="7">
                  <c:v>143.8119516726257</c:v>
                </c:pt>
                <c:pt idx="8">
                  <c:v>132.81566557919956</c:v>
                </c:pt>
                <c:pt idx="9">
                  <c:v>129.96338645276731</c:v>
                </c:pt>
                <c:pt idx="10">
                  <c:v>138.09076868619502</c:v>
                </c:pt>
                <c:pt idx="11">
                  <c:v>151.31230975983763</c:v>
                </c:pt>
                <c:pt idx="12">
                  <c:v>184.81178191006856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6D-48DA-88FE-B324694F2BB8}"/>
            </c:ext>
          </c:extLst>
        </c:ser>
        <c:ser>
          <c:idx val="2"/>
          <c:order val="1"/>
          <c:tx>
            <c:strRef>
              <c:f>'5. Mining unit prices'!$D$5</c:f>
              <c:strCache>
                <c:ptCount val="1"/>
                <c:pt idx="0">
                  <c:v>gold</c:v>
                </c:pt>
              </c:strCache>
            </c:strRef>
          </c:tx>
          <c:spPr>
            <a:ln w="19050">
              <a:solidFill>
                <a:srgbClr val="4F81BD">
                  <a:lumMod val="60000"/>
                  <a:lumOff val="40000"/>
                </a:srgbClr>
              </a:solidFill>
            </a:ln>
          </c:spPr>
          <c:marker>
            <c:symbol val="circle"/>
            <c:size val="8"/>
            <c:spPr>
              <a:solidFill>
                <a:srgbClr val="4F81BD">
                  <a:lumMod val="60000"/>
                  <a:lumOff val="40000"/>
                </a:srgbClr>
              </a:solidFill>
              <a:ln>
                <a:solidFill>
                  <a:srgbClr val="4F81BD">
                    <a:lumMod val="60000"/>
                    <a:lumOff val="40000"/>
                  </a:srgbClr>
                </a:solidFill>
              </a:ln>
            </c:spPr>
          </c:marker>
          <c:cat>
            <c:strRef>
              <c:f>'5. Mining unit prices'!$A$6:$A$18</c:f>
              <c:strCache>
                <c:ptCount val="13"/>
                <c:pt idx="0">
                  <c:v>Jan 2020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 2021</c:v>
                </c:pt>
              </c:strCache>
            </c:strRef>
          </c:cat>
          <c:val>
            <c:numRef>
              <c:f>'5. Mining unit prices'!$D$6:$D$18</c:f>
              <c:numCache>
                <c:formatCode>_-* #\ ##0_-;\-* #\ ##0_-;_-* "-"??_-;_-@_-</c:formatCode>
                <c:ptCount val="13"/>
                <c:pt idx="0">
                  <c:v>100</c:v>
                </c:pt>
                <c:pt idx="1">
                  <c:v>107.54112772105448</c:v>
                </c:pt>
                <c:pt idx="2">
                  <c:v>112.27227133515225</c:v>
                </c:pt>
                <c:pt idx="3">
                  <c:v>115.06673866907092</c:v>
                </c:pt>
                <c:pt idx="4">
                  <c:v>132.03805130204591</c:v>
                </c:pt>
                <c:pt idx="5">
                  <c:v>126.78891606365778</c:v>
                </c:pt>
                <c:pt idx="6">
                  <c:v>120.80972989292896</c:v>
                </c:pt>
                <c:pt idx="7">
                  <c:v>137.69195917323998</c:v>
                </c:pt>
                <c:pt idx="8">
                  <c:v>138.26723109304652</c:v>
                </c:pt>
                <c:pt idx="9">
                  <c:v>135.67861455875075</c:v>
                </c:pt>
                <c:pt idx="10">
                  <c:v>128.53587415942437</c:v>
                </c:pt>
                <c:pt idx="11">
                  <c:v>110.95784242589353</c:v>
                </c:pt>
                <c:pt idx="12">
                  <c:v>121.07440114349788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6D-48DA-88FE-B324694F2BB8}"/>
            </c:ext>
          </c:extLst>
        </c:ser>
        <c:ser>
          <c:idx val="3"/>
          <c:order val="2"/>
          <c:tx>
            <c:strRef>
              <c:f>'5. Mining unit prices'!$E$5</c:f>
              <c:strCache>
                <c:ptCount val="1"/>
                <c:pt idx="0">
                  <c:v>platinum</c:v>
                </c:pt>
              </c:strCache>
            </c:strRef>
          </c:tx>
          <c:spPr>
            <a:ln w="22225"/>
          </c:spPr>
          <c:marker>
            <c:symbol val="square"/>
            <c:size val="7"/>
          </c:marker>
          <c:cat>
            <c:strRef>
              <c:f>'5. Mining unit prices'!$A$6:$A$18</c:f>
              <c:strCache>
                <c:ptCount val="13"/>
                <c:pt idx="0">
                  <c:v>Jan 2020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 2021</c:v>
                </c:pt>
              </c:strCache>
            </c:strRef>
          </c:cat>
          <c:val>
            <c:numRef>
              <c:f>'5. Mining unit prices'!$E$6:$E$18</c:f>
              <c:numCache>
                <c:formatCode>_-* #\ ##0_-;\-* #\ ##0_-;_-* "-"??_-;_-@_-</c:formatCode>
                <c:ptCount val="13"/>
                <c:pt idx="0">
                  <c:v>100</c:v>
                </c:pt>
                <c:pt idx="1">
                  <c:v>94.746232049122085</c:v>
                </c:pt>
                <c:pt idx="2">
                  <c:v>109.49521500784196</c:v>
                </c:pt>
                <c:pt idx="3">
                  <c:v>153.71644802513472</c:v>
                </c:pt>
                <c:pt idx="4">
                  <c:v>96.416092031326755</c:v>
                </c:pt>
                <c:pt idx="5">
                  <c:v>141.25221565521517</c:v>
                </c:pt>
                <c:pt idx="6">
                  <c:v>90.716116455246592</c:v>
                </c:pt>
                <c:pt idx="7">
                  <c:v>131.10282027409846</c:v>
                </c:pt>
                <c:pt idx="8">
                  <c:v>144.63114687604275</c:v>
                </c:pt>
                <c:pt idx="9">
                  <c:v>172.19800333048616</c:v>
                </c:pt>
                <c:pt idx="10">
                  <c:v>143.34796158780699</c:v>
                </c:pt>
                <c:pt idx="11">
                  <c:v>113.64052048349652</c:v>
                </c:pt>
                <c:pt idx="12">
                  <c:v>120.16171293635406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16D-48DA-88FE-B324694F2BB8}"/>
            </c:ext>
          </c:extLst>
        </c:ser>
        <c:ser>
          <c:idx val="1"/>
          <c:order val="3"/>
          <c:tx>
            <c:strRef>
              <c:f>'5. Mining unit prices'!$C$5</c:f>
              <c:strCache>
                <c:ptCount val="1"/>
                <c:pt idx="0">
                  <c:v>coal</c:v>
                </c:pt>
              </c:strCache>
            </c:strRef>
          </c:tx>
          <c:spPr>
            <a:ln w="22225"/>
          </c:spPr>
          <c:marker>
            <c:symbol val="triangle"/>
            <c:size val="7"/>
          </c:marker>
          <c:cat>
            <c:strRef>
              <c:f>'5. Mining unit prices'!$A$6:$A$18</c:f>
              <c:strCache>
                <c:ptCount val="13"/>
                <c:pt idx="0">
                  <c:v>Jan 2020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 2021</c:v>
                </c:pt>
              </c:strCache>
            </c:strRef>
          </c:cat>
          <c:val>
            <c:numRef>
              <c:f>'5. Mining unit prices'!$C$6:$C$18</c:f>
              <c:numCache>
                <c:formatCode>_-* #\ ##0_-;\-* #\ ##0_-;_-* "-"??_-;_-@_-</c:formatCode>
                <c:ptCount val="13"/>
                <c:pt idx="0">
                  <c:v>100</c:v>
                </c:pt>
                <c:pt idx="1">
                  <c:v>95.445761470997894</c:v>
                </c:pt>
                <c:pt idx="2">
                  <c:v>93.728252805699881</c:v>
                </c:pt>
                <c:pt idx="3">
                  <c:v>81.667934475135908</c:v>
                </c:pt>
                <c:pt idx="4">
                  <c:v>77.066398994745228</c:v>
                </c:pt>
                <c:pt idx="5">
                  <c:v>76.320039647961281</c:v>
                </c:pt>
                <c:pt idx="6">
                  <c:v>70.076348676812586</c:v>
                </c:pt>
                <c:pt idx="7">
                  <c:v>76.10592727133205</c:v>
                </c:pt>
                <c:pt idx="8">
                  <c:v>74.759616903846108</c:v>
                </c:pt>
                <c:pt idx="9">
                  <c:v>74.978788919476514</c:v>
                </c:pt>
                <c:pt idx="10">
                  <c:v>78.716431473885649</c:v>
                </c:pt>
                <c:pt idx="11">
                  <c:v>90.407575139657581</c:v>
                </c:pt>
                <c:pt idx="12">
                  <c:v>98.775991396960677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16D-48DA-88FE-B324694F2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in val="6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January 2020 = 100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125810192847174"/>
          <c:y val="0.22535981343603864"/>
          <c:w val="0.13055292142279279"/>
          <c:h val="0.39056550967499631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'6. Auto sales'!$B$4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sales'!$A$5:$A$21</c:f>
              <c:strCache>
                <c:ptCount val="17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</c:strCache>
            </c:strRef>
          </c:cat>
          <c:val>
            <c:numRef>
              <c:f>'6. Auto sales'!$B$5:$B$21</c:f>
              <c:numCache>
                <c:formatCode>_-* #\ ##0_-;\-* #\ ##0_-;_-* "-"??_-;_-@_-</c:formatCode>
                <c:ptCount val="17"/>
                <c:pt idx="0">
                  <c:v>32257.666666666668</c:v>
                </c:pt>
                <c:pt idx="1">
                  <c:v>22607.333333333332</c:v>
                </c:pt>
                <c:pt idx="3">
                  <c:v>16303</c:v>
                </c:pt>
                <c:pt idx="4">
                  <c:v>32143</c:v>
                </c:pt>
                <c:pt idx="5">
                  <c:v>28889</c:v>
                </c:pt>
                <c:pt idx="6">
                  <c:v>901</c:v>
                </c:pt>
                <c:pt idx="7">
                  <c:v>11901</c:v>
                </c:pt>
                <c:pt idx="8">
                  <c:v>18808</c:v>
                </c:pt>
                <c:pt idx="9">
                  <c:v>25312</c:v>
                </c:pt>
                <c:pt idx="10">
                  <c:v>23029</c:v>
                </c:pt>
                <c:pt idx="11">
                  <c:v>28390</c:v>
                </c:pt>
                <c:pt idx="12">
                  <c:v>33844</c:v>
                </c:pt>
                <c:pt idx="13">
                  <c:v>33825</c:v>
                </c:pt>
                <c:pt idx="14">
                  <c:v>17943</c:v>
                </c:pt>
                <c:pt idx="15">
                  <c:v>22759</c:v>
                </c:pt>
                <c:pt idx="16">
                  <c:v>29582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E-4FB3-963D-6D4818731A68}"/>
            </c:ext>
          </c:extLst>
        </c:ser>
        <c:ser>
          <c:idx val="1"/>
          <c:order val="1"/>
          <c:tx>
            <c:strRef>
              <c:f>'6. Auto sales'!$C$4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sales'!$A$5:$A$21</c:f>
              <c:strCache>
                <c:ptCount val="17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</c:strCache>
            </c:strRef>
          </c:cat>
          <c:val>
            <c:numRef>
              <c:f>'6. Auto sales'!$C$5:$C$21</c:f>
              <c:numCache>
                <c:formatCode>_-* #\ ##0_-;\-* #\ ##0_-;_-* "-"??_-;_-@_-</c:formatCode>
                <c:ptCount val="17"/>
                <c:pt idx="0">
                  <c:v>44717.666666666664</c:v>
                </c:pt>
                <c:pt idx="1">
                  <c:v>31683.833333333332</c:v>
                </c:pt>
                <c:pt idx="3">
                  <c:v>40413</c:v>
                </c:pt>
                <c:pt idx="4">
                  <c:v>43296</c:v>
                </c:pt>
                <c:pt idx="5">
                  <c:v>33546</c:v>
                </c:pt>
                <c:pt idx="6">
                  <c:v>574</c:v>
                </c:pt>
                <c:pt idx="7">
                  <c:v>12874</c:v>
                </c:pt>
                <c:pt idx="8">
                  <c:v>31643</c:v>
                </c:pt>
                <c:pt idx="9">
                  <c:v>32405</c:v>
                </c:pt>
                <c:pt idx="10">
                  <c:v>33259</c:v>
                </c:pt>
                <c:pt idx="11">
                  <c:v>37237</c:v>
                </c:pt>
                <c:pt idx="12">
                  <c:v>38694</c:v>
                </c:pt>
                <c:pt idx="13">
                  <c:v>39015</c:v>
                </c:pt>
                <c:pt idx="14">
                  <c:v>37250</c:v>
                </c:pt>
                <c:pt idx="15">
                  <c:v>34649</c:v>
                </c:pt>
                <c:pt idx="16">
                  <c:v>37521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E-4FB3-963D-6D4818731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'6. Auto sales'!$B$4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sales'!$A$5:$A$21</c:f>
              <c:strCache>
                <c:ptCount val="17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</c:strCache>
            </c:strRef>
          </c:cat>
          <c:val>
            <c:numRef>
              <c:f>'6. Auto sales'!$B$5:$B$21</c:f>
              <c:numCache>
                <c:formatCode>_-* #\ ##0_-;\-* #\ ##0_-;_-* "-"??_-;_-@_-</c:formatCode>
                <c:ptCount val="17"/>
                <c:pt idx="0">
                  <c:v>32257.666666666668</c:v>
                </c:pt>
                <c:pt idx="1">
                  <c:v>22607.333333333332</c:v>
                </c:pt>
                <c:pt idx="3">
                  <c:v>16303</c:v>
                </c:pt>
                <c:pt idx="4">
                  <c:v>32143</c:v>
                </c:pt>
                <c:pt idx="5">
                  <c:v>28889</c:v>
                </c:pt>
                <c:pt idx="6">
                  <c:v>901</c:v>
                </c:pt>
                <c:pt idx="7">
                  <c:v>11901</c:v>
                </c:pt>
                <c:pt idx="8">
                  <c:v>18808</c:v>
                </c:pt>
                <c:pt idx="9">
                  <c:v>25312</c:v>
                </c:pt>
                <c:pt idx="10">
                  <c:v>23029</c:v>
                </c:pt>
                <c:pt idx="11">
                  <c:v>28390</c:v>
                </c:pt>
                <c:pt idx="12">
                  <c:v>33844</c:v>
                </c:pt>
                <c:pt idx="13">
                  <c:v>33825</c:v>
                </c:pt>
                <c:pt idx="14">
                  <c:v>17943</c:v>
                </c:pt>
                <c:pt idx="15">
                  <c:v>22759</c:v>
                </c:pt>
                <c:pt idx="16">
                  <c:v>29582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8-4424-9E5B-44F17E08195D}"/>
            </c:ext>
          </c:extLst>
        </c:ser>
        <c:ser>
          <c:idx val="1"/>
          <c:order val="1"/>
          <c:tx>
            <c:strRef>
              <c:f>'6. Auto sales'!$C$4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sales'!$A$5:$A$21</c:f>
              <c:strCache>
                <c:ptCount val="17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</c:strCache>
            </c:strRef>
          </c:cat>
          <c:val>
            <c:numRef>
              <c:f>'6. Auto sales'!$C$5:$C$21</c:f>
              <c:numCache>
                <c:formatCode>_-* #\ ##0_-;\-* #\ ##0_-;_-* "-"??_-;_-@_-</c:formatCode>
                <c:ptCount val="17"/>
                <c:pt idx="0">
                  <c:v>44717.666666666664</c:v>
                </c:pt>
                <c:pt idx="1">
                  <c:v>31683.833333333332</c:v>
                </c:pt>
                <c:pt idx="3">
                  <c:v>40413</c:v>
                </c:pt>
                <c:pt idx="4">
                  <c:v>43296</c:v>
                </c:pt>
                <c:pt idx="5">
                  <c:v>33546</c:v>
                </c:pt>
                <c:pt idx="6">
                  <c:v>574</c:v>
                </c:pt>
                <c:pt idx="7">
                  <c:v>12874</c:v>
                </c:pt>
                <c:pt idx="8">
                  <c:v>31643</c:v>
                </c:pt>
                <c:pt idx="9">
                  <c:v>32405</c:v>
                </c:pt>
                <c:pt idx="10">
                  <c:v>33259</c:v>
                </c:pt>
                <c:pt idx="11">
                  <c:v>37237</c:v>
                </c:pt>
                <c:pt idx="12">
                  <c:v>38694</c:v>
                </c:pt>
                <c:pt idx="13">
                  <c:v>39015</c:v>
                </c:pt>
                <c:pt idx="14">
                  <c:v>37250</c:v>
                </c:pt>
                <c:pt idx="15">
                  <c:v>34649</c:v>
                </c:pt>
                <c:pt idx="16">
                  <c:v>37521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8-4424-9E5B-44F17E081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'6. Auto sales'!$B$4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sales'!$A$5:$A$21</c:f>
              <c:strCache>
                <c:ptCount val="17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</c:strCache>
            </c:strRef>
          </c:cat>
          <c:val>
            <c:numRef>
              <c:f>'6. Auto sales'!$B$5:$B$21</c:f>
              <c:numCache>
                <c:formatCode>_-* #\ ##0_-;\-* #\ ##0_-;_-* "-"??_-;_-@_-</c:formatCode>
                <c:ptCount val="17"/>
                <c:pt idx="0">
                  <c:v>32257.666666666668</c:v>
                </c:pt>
                <c:pt idx="1">
                  <c:v>22607.333333333332</c:v>
                </c:pt>
                <c:pt idx="3">
                  <c:v>16303</c:v>
                </c:pt>
                <c:pt idx="4">
                  <c:v>32143</c:v>
                </c:pt>
                <c:pt idx="5">
                  <c:v>28889</c:v>
                </c:pt>
                <c:pt idx="6">
                  <c:v>901</c:v>
                </c:pt>
                <c:pt idx="7">
                  <c:v>11901</c:v>
                </c:pt>
                <c:pt idx="8">
                  <c:v>18808</c:v>
                </c:pt>
                <c:pt idx="9">
                  <c:v>25312</c:v>
                </c:pt>
                <c:pt idx="10">
                  <c:v>23029</c:v>
                </c:pt>
                <c:pt idx="11">
                  <c:v>28390</c:v>
                </c:pt>
                <c:pt idx="12">
                  <c:v>33844</c:v>
                </c:pt>
                <c:pt idx="13">
                  <c:v>33825</c:v>
                </c:pt>
                <c:pt idx="14">
                  <c:v>17943</c:v>
                </c:pt>
                <c:pt idx="15">
                  <c:v>22759</c:v>
                </c:pt>
                <c:pt idx="16">
                  <c:v>29582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E-4BEE-AC34-33E66E757ABB}"/>
            </c:ext>
          </c:extLst>
        </c:ser>
        <c:ser>
          <c:idx val="1"/>
          <c:order val="1"/>
          <c:tx>
            <c:strRef>
              <c:f>'6. Auto sales'!$C$4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sales'!$A$5:$A$21</c:f>
              <c:strCache>
                <c:ptCount val="17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</c:strCache>
            </c:strRef>
          </c:cat>
          <c:val>
            <c:numRef>
              <c:f>'6. Auto sales'!$C$5:$C$21</c:f>
              <c:numCache>
                <c:formatCode>_-* #\ ##0_-;\-* #\ ##0_-;_-* "-"??_-;_-@_-</c:formatCode>
                <c:ptCount val="17"/>
                <c:pt idx="0">
                  <c:v>44717.666666666664</c:v>
                </c:pt>
                <c:pt idx="1">
                  <c:v>31683.833333333332</c:v>
                </c:pt>
                <c:pt idx="3">
                  <c:v>40413</c:v>
                </c:pt>
                <c:pt idx="4">
                  <c:v>43296</c:v>
                </c:pt>
                <c:pt idx="5">
                  <c:v>33546</c:v>
                </c:pt>
                <c:pt idx="6">
                  <c:v>574</c:v>
                </c:pt>
                <c:pt idx="7">
                  <c:v>12874</c:v>
                </c:pt>
                <c:pt idx="8">
                  <c:v>31643</c:v>
                </c:pt>
                <c:pt idx="9">
                  <c:v>32405</c:v>
                </c:pt>
                <c:pt idx="10">
                  <c:v>33259</c:v>
                </c:pt>
                <c:pt idx="11">
                  <c:v>37237</c:v>
                </c:pt>
                <c:pt idx="12">
                  <c:v>38694</c:v>
                </c:pt>
                <c:pt idx="13">
                  <c:v>39015</c:v>
                </c:pt>
                <c:pt idx="14">
                  <c:v>37250</c:v>
                </c:pt>
                <c:pt idx="15">
                  <c:v>34649</c:v>
                </c:pt>
                <c:pt idx="16">
                  <c:v>37521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E-4BEE-AC34-33E66E757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 Expenditure on GDP'!$B$4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'7. Expenditure on GDP'!$A$5:$A$9</c:f>
              <c:strCache>
                <c:ptCount val="5"/>
                <c:pt idx="0">
                  <c:v>households</c:v>
                </c:pt>
                <c:pt idx="1">
                  <c:v>general 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'7. Expenditure on GDP'!$B$5:$B$9</c:f>
              <c:numCache>
                <c:formatCode>_-* #\ ##0.0_-;\-* #\ ##0.0_-;_-* "-"??_-;_-@_-</c:formatCode>
                <c:ptCount val="5"/>
                <c:pt idx="0">
                  <c:v>3.2079638749275485</c:v>
                </c:pt>
                <c:pt idx="1">
                  <c:v>1.1432708560449374</c:v>
                </c:pt>
                <c:pt idx="2">
                  <c:v>0.96959412307344017</c:v>
                </c:pt>
                <c:pt idx="3">
                  <c:v>1.7891917675651685</c:v>
                </c:pt>
                <c:pt idx="4">
                  <c:v>1.5496458246087195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0-47F4-861C-AEFAB4721C87}"/>
            </c:ext>
          </c:extLst>
        </c:ser>
        <c:ser>
          <c:idx val="1"/>
          <c:order val="1"/>
          <c:tx>
            <c:strRef>
              <c:f>'7. Expenditure on GDP'!$C$4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</c:spPr>
          <c:invertIfNegative val="0"/>
          <c:cat>
            <c:strRef>
              <c:f>'7. Expenditure on GDP'!$A$5:$A$9</c:f>
              <c:strCache>
                <c:ptCount val="5"/>
                <c:pt idx="0">
                  <c:v>households</c:v>
                </c:pt>
                <c:pt idx="1">
                  <c:v>general 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'7. Expenditure on GDP'!$C$5:$C$9</c:f>
              <c:numCache>
                <c:formatCode>_-* #\ ##0.0_-;\-* #\ ##0.0_-;_-* "-"??_-;_-@_-</c:formatCode>
                <c:ptCount val="5"/>
                <c:pt idx="0">
                  <c:v>3.2080594569448526</c:v>
                </c:pt>
                <c:pt idx="1">
                  <c:v>1.1485063957521795</c:v>
                </c:pt>
                <c:pt idx="2">
                  <c:v>0.92060333448442111</c:v>
                </c:pt>
                <c:pt idx="3">
                  <c:v>1.784929775998481</c:v>
                </c:pt>
                <c:pt idx="4">
                  <c:v>1.4735912756782372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B0-47F4-861C-AEFAB4721C87}"/>
            </c:ext>
          </c:extLst>
        </c:ser>
        <c:ser>
          <c:idx val="2"/>
          <c:order val="2"/>
          <c:tx>
            <c:strRef>
              <c:f>'7. Expenditure on GDP'!$D$4</c:f>
              <c:strCache>
                <c:ptCount val="1"/>
                <c:pt idx="0">
                  <c:v>Q2 2020</c:v>
                </c:pt>
              </c:strCache>
            </c:strRef>
          </c:tx>
          <c:invertIfNegative val="0"/>
          <c:cat>
            <c:strRef>
              <c:f>'7. Expenditure on GDP'!$A$5:$A$9</c:f>
              <c:strCache>
                <c:ptCount val="5"/>
                <c:pt idx="0">
                  <c:v>households</c:v>
                </c:pt>
                <c:pt idx="1">
                  <c:v>general 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'7. Expenditure on GDP'!$D$5:$D$9</c:f>
              <c:numCache>
                <c:formatCode>_-* #\ ##0.0_-;\-* #\ ##0.0_-;_-* "-"??_-;_-@_-</c:formatCode>
                <c:ptCount val="5"/>
                <c:pt idx="0">
                  <c:v>2.6707775704739052</c:v>
                </c:pt>
                <c:pt idx="1">
                  <c:v>1.1423546323756069</c:v>
                </c:pt>
                <c:pt idx="2">
                  <c:v>0.73479038210143921</c:v>
                </c:pt>
                <c:pt idx="3">
                  <c:v>1.240146970959852</c:v>
                </c:pt>
                <c:pt idx="4">
                  <c:v>1.2216651104000811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B0-47F4-861C-AEFAB4721C87}"/>
            </c:ext>
          </c:extLst>
        </c:ser>
        <c:ser>
          <c:idx val="3"/>
          <c:order val="3"/>
          <c:tx>
            <c:strRef>
              <c:f>'7. Expenditure on GDP'!$E$4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</c:spPr>
          <c:invertIfNegative val="0"/>
          <c:cat>
            <c:strRef>
              <c:f>'7. Expenditure on GDP'!$A$5:$A$9</c:f>
              <c:strCache>
                <c:ptCount val="5"/>
                <c:pt idx="0">
                  <c:v>households</c:v>
                </c:pt>
                <c:pt idx="1">
                  <c:v>general 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'7. Expenditure on GDP'!$E$5:$E$9</c:f>
              <c:numCache>
                <c:formatCode>_-* #\ ##0.0_-;\-* #\ ##0.0_-;_-* "-"??_-;_-@_-</c:formatCode>
                <c:ptCount val="5"/>
                <c:pt idx="0">
                  <c:v>3.0731156097231707</c:v>
                </c:pt>
                <c:pt idx="1">
                  <c:v>1.1445156826367344</c:v>
                </c:pt>
                <c:pt idx="2">
                  <c:v>0.77983020645834511</c:v>
                </c:pt>
                <c:pt idx="3">
                  <c:v>1.624276402977471</c:v>
                </c:pt>
                <c:pt idx="4">
                  <c:v>1.2157266245806575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B0-47F4-861C-AEFAB4721C87}"/>
            </c:ext>
          </c:extLst>
        </c:ser>
        <c:ser>
          <c:idx val="4"/>
          <c:order val="4"/>
          <c:tx>
            <c:strRef>
              <c:f>'7. Expenditure on GDP'!$F$4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</c:spPr>
          <c:invertIfNegative val="0"/>
          <c:cat>
            <c:strRef>
              <c:f>'7. Expenditure on GDP'!$A$5:$A$9</c:f>
              <c:strCache>
                <c:ptCount val="5"/>
                <c:pt idx="0">
                  <c:v>households</c:v>
                </c:pt>
                <c:pt idx="1">
                  <c:v>general 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'7. Expenditure on GDP'!$F$5:$F$9</c:f>
              <c:numCache>
                <c:formatCode>_-* #\ ##0.0_-;\-* #\ ##0.0_-;_-* "-"??_-;_-@_-</c:formatCode>
                <c:ptCount val="5"/>
                <c:pt idx="0">
                  <c:v>3.1289931663731294</c:v>
                </c:pt>
                <c:pt idx="1">
                  <c:v>1.1476229339229209</c:v>
                </c:pt>
                <c:pt idx="2">
                  <c:v>0.80241798863430913</c:v>
                </c:pt>
                <c:pt idx="3">
                  <c:v>1.7228032574945416</c:v>
                </c:pt>
                <c:pt idx="4">
                  <c:v>1.3507999355628595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B0-47F4-861C-AEFAB4721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19"/>
        <c:axId val="218425984"/>
        <c:axId val="224269056"/>
      </c:barChart>
      <c:catAx>
        <c:axId val="21842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224269056"/>
        <c:crosses val="autoZero"/>
        <c:auto val="1"/>
        <c:lblAlgn val="ctr"/>
        <c:lblOffset val="100"/>
        <c:noMultiLvlLbl val="0"/>
      </c:catAx>
      <c:valAx>
        <c:axId val="22426905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billions of constant rand</a:t>
                </a:r>
              </a:p>
            </c:rich>
          </c:tx>
          <c:layout/>
          <c:overlay val="0"/>
        </c:title>
        <c:numFmt formatCode="_-* #\ ##0.0_-;\-* #\ ##0.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8425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888177" y="661458"/>
    <xdr:ext cx="9276953" cy="44185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0.70565</cdr:x>
      <cdr:y>0.09086</cdr:y>
    </cdr:from>
    <cdr:to>
      <cdr:x>0.85449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7378486" y="581357"/>
          <a:ext cx="1556372" cy="5817024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7569659" y="2519304"/>
    <xdr:ext cx="13073061" cy="5000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623168" y="612530"/>
    <xdr:ext cx="11827120" cy="58107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4876800" y="368300"/>
    <xdr:ext cx="9305192" cy="60813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3524474" y="3584985"/>
    <xdr:ext cx="8291008" cy="407983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598406</xdr:colOff>
      <xdr:row>4</xdr:row>
      <xdr:rowOff>150687</xdr:rowOff>
    </xdr:from>
    <xdr:to>
      <xdr:col>37</xdr:col>
      <xdr:colOff>452033</xdr:colOff>
      <xdr:row>26</xdr:row>
      <xdr:rowOff>48432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598406</xdr:colOff>
      <xdr:row>26</xdr:row>
      <xdr:rowOff>172212</xdr:rowOff>
    </xdr:from>
    <xdr:to>
      <xdr:col>37</xdr:col>
      <xdr:colOff>447728</xdr:colOff>
      <xdr:row>47</xdr:row>
      <xdr:rowOff>86101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3657600" y="374650"/>
    <xdr:ext cx="10363200" cy="5365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657600" y="5905500"/>
    <xdr:ext cx="10363200" cy="536575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4627018" y="894773"/>
    <xdr:ext cx="9276953" cy="45123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627018" y="5546236"/>
    <xdr:ext cx="9276953" cy="4512348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7390342" y="749300"/>
    <xdr:ext cx="9276953" cy="48492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3092450"/>
    <xdr:ext cx="9305192" cy="50759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8261616" y="892968"/>
    <xdr:ext cx="13060494" cy="72429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9353550"/>
    <xdr:ext cx="9305192" cy="608134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5334000"/>
    <xdr:ext cx="10759722" cy="61261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9676190" y="544286"/>
    <xdr:ext cx="9305192" cy="506478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219200" y="4051300"/>
    <xdr:ext cx="9305192" cy="513571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0.06802</cdr:x>
      <cdr:y>0.56842</cdr:y>
    </cdr:from>
    <cdr:to>
      <cdr:x>0.84317</cdr:x>
      <cdr:y>0.56842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32933" y="2919260"/>
          <a:ext cx="7212919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alpha val="4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3943350" y="59480449"/>
    <xdr:ext cx="9305192" cy="53571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323617" y="60716809"/>
    <xdr:ext cx="9305192" cy="5350212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2462561" y="913781"/>
    <xdr:ext cx="9305192" cy="6081346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3043208"/>
    <xdr:ext cx="9276953" cy="44689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5207594" y="0"/>
    <xdr:ext cx="10456333" cy="63983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eva.TIPSHQ\AppData\Local\Microsoft\Windows\Temporary%20Internet%20Files\Content.Outlook\Z7DA1ZHD\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zoomScale="48" zoomScaleNormal="48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Y4" sqref="Y4"/>
    </sheetView>
  </sheetViews>
  <sheetFormatPr defaultRowHeight="14.5" x14ac:dyDescent="0.35"/>
  <cols>
    <col min="1" max="1" width="7.26953125" customWidth="1"/>
    <col min="2" max="2" width="16.81640625" style="15" customWidth="1"/>
    <col min="3" max="3" width="17.6328125" style="4" bestFit="1" customWidth="1"/>
    <col min="5" max="5" width="10.6328125" bestFit="1" customWidth="1"/>
  </cols>
  <sheetData>
    <row r="1" spans="1:13" ht="26" x14ac:dyDescent="0.6">
      <c r="A1" s="1" t="s">
        <v>0</v>
      </c>
      <c r="B1" s="2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6" x14ac:dyDescent="0.6">
      <c r="A2" s="1"/>
      <c r="B2" s="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69" customHeight="1" x14ac:dyDescent="0.6">
      <c r="A3" s="1"/>
      <c r="B3" s="5" t="s">
        <v>1</v>
      </c>
      <c r="C3" s="4" t="s">
        <v>2</v>
      </c>
      <c r="D3" s="3"/>
      <c r="E3" s="6" t="s">
        <v>3</v>
      </c>
      <c r="F3" s="3"/>
      <c r="G3" s="3"/>
      <c r="I3" s="3"/>
      <c r="J3" s="3"/>
      <c r="K3" s="3"/>
      <c r="L3" s="3"/>
      <c r="M3" s="3"/>
    </row>
    <row r="4" spans="1:13" x14ac:dyDescent="0.35">
      <c r="A4" s="7">
        <v>1994</v>
      </c>
      <c r="B4" s="8">
        <f t="shared" ref="B4:B35" si="0">(1+E4)^(1/4)-1</f>
        <v>-5.0037543810244056E-4</v>
      </c>
      <c r="C4" s="4">
        <v>1623437</v>
      </c>
      <c r="E4" s="9">
        <v>-2E-3</v>
      </c>
    </row>
    <row r="5" spans="1:13" x14ac:dyDescent="0.35">
      <c r="A5" s="7"/>
      <c r="B5" s="8">
        <f t="shared" si="0"/>
        <v>9.7565843331155477E-3</v>
      </c>
      <c r="C5" s="4">
        <v>1639276.2</v>
      </c>
      <c r="E5" s="9">
        <f t="shared" ref="E5:E36" si="1">POWER(C5/C4,4)-1</f>
        <v>3.9601206974523739E-2</v>
      </c>
    </row>
    <row r="6" spans="1:13" x14ac:dyDescent="0.35">
      <c r="A6" s="7"/>
      <c r="B6" s="8">
        <f t="shared" si="0"/>
        <v>1.1245145875966589E-2</v>
      </c>
      <c r="C6" s="4">
        <v>1657710.1</v>
      </c>
      <c r="E6" s="9">
        <f t="shared" si="1"/>
        <v>4.5745007272415261E-2</v>
      </c>
    </row>
    <row r="7" spans="1:13" x14ac:dyDescent="0.35">
      <c r="A7" s="7"/>
      <c r="B7" s="8">
        <f t="shared" si="0"/>
        <v>1.8582983840178091E-2</v>
      </c>
      <c r="C7" s="4">
        <v>1688515.3</v>
      </c>
      <c r="E7" s="9">
        <f t="shared" si="1"/>
        <v>7.6429687187754558E-2</v>
      </c>
    </row>
    <row r="8" spans="1:13" x14ac:dyDescent="0.35">
      <c r="A8" s="7">
        <v>1995</v>
      </c>
      <c r="B8" s="8">
        <f t="shared" si="0"/>
        <v>2.4994739461348114E-3</v>
      </c>
      <c r="C8" s="4">
        <v>1692735.7</v>
      </c>
      <c r="E8" s="9">
        <f t="shared" si="1"/>
        <v>1.0035442504167325E-2</v>
      </c>
    </row>
    <row r="9" spans="1:13" x14ac:dyDescent="0.35">
      <c r="A9" s="7"/>
      <c r="B9" s="8">
        <f t="shared" si="0"/>
        <v>2.8748138294714121E-3</v>
      </c>
      <c r="C9" s="4">
        <v>1697602</v>
      </c>
      <c r="E9" s="9">
        <f t="shared" si="1"/>
        <v>1.1548937749735977E-2</v>
      </c>
    </row>
    <row r="10" spans="1:13" x14ac:dyDescent="0.35">
      <c r="A10" s="7"/>
      <c r="B10" s="8">
        <f t="shared" si="0"/>
        <v>6.6346528809462235E-3</v>
      </c>
      <c r="C10" s="4">
        <v>1708865</v>
      </c>
      <c r="E10" s="9">
        <f t="shared" si="1"/>
        <v>2.6803893367552956E-2</v>
      </c>
    </row>
    <row r="11" spans="1:13" x14ac:dyDescent="0.35">
      <c r="A11" s="7"/>
      <c r="B11" s="8">
        <f t="shared" si="0"/>
        <v>3.3636360976436741E-3</v>
      </c>
      <c r="C11" s="4">
        <v>1714613</v>
      </c>
      <c r="E11" s="9">
        <f t="shared" si="1"/>
        <v>1.3522581030724901E-2</v>
      </c>
    </row>
    <row r="12" spans="1:13" x14ac:dyDescent="0.35">
      <c r="A12" s="7">
        <v>1996</v>
      </c>
      <c r="B12" s="8">
        <f t="shared" si="0"/>
        <v>1.852499660273188E-2</v>
      </c>
      <c r="C12" s="4">
        <v>1746376.2</v>
      </c>
      <c r="E12" s="9">
        <f t="shared" si="1"/>
        <v>7.6184586474960181E-2</v>
      </c>
    </row>
    <row r="13" spans="1:13" x14ac:dyDescent="0.35">
      <c r="A13" s="7"/>
      <c r="B13" s="8">
        <f t="shared" si="0"/>
        <v>1.1913584255213827E-2</v>
      </c>
      <c r="C13" s="4">
        <v>1767181.8</v>
      </c>
      <c r="E13" s="9">
        <f t="shared" si="1"/>
        <v>4.8512721851164953E-2</v>
      </c>
    </row>
    <row r="14" spans="1:13" x14ac:dyDescent="0.35">
      <c r="A14" s="7"/>
      <c r="B14" s="8">
        <f t="shared" si="0"/>
        <v>1.1914846565305171E-2</v>
      </c>
      <c r="C14" s="4">
        <v>1788237.5</v>
      </c>
      <c r="E14" s="9">
        <f t="shared" si="1"/>
        <v>4.8517953723478557E-2</v>
      </c>
    </row>
    <row r="15" spans="1:13" x14ac:dyDescent="0.35">
      <c r="A15" s="7"/>
      <c r="B15" s="8">
        <f t="shared" si="0"/>
        <v>9.3816956640266902E-3</v>
      </c>
      <c r="C15" s="4">
        <v>1805014.2</v>
      </c>
      <c r="E15" s="9">
        <f t="shared" si="1"/>
        <v>3.805819064947058E-2</v>
      </c>
    </row>
    <row r="16" spans="1:13" x14ac:dyDescent="0.35">
      <c r="A16" s="7">
        <v>1997</v>
      </c>
      <c r="B16" s="8">
        <f t="shared" si="0"/>
        <v>4.6421795462883164E-3</v>
      </c>
      <c r="C16" s="4">
        <v>1813393.4</v>
      </c>
      <c r="E16" s="9">
        <f t="shared" si="1"/>
        <v>1.8698417787925914E-2</v>
      </c>
    </row>
    <row r="17" spans="1:5" x14ac:dyDescent="0.35">
      <c r="A17" s="7"/>
      <c r="B17" s="8">
        <f t="shared" si="0"/>
        <v>6.2740936412364334E-3</v>
      </c>
      <c r="C17" s="4">
        <v>1824770.8</v>
      </c>
      <c r="E17" s="9">
        <f t="shared" si="1"/>
        <v>2.5333549520592191E-2</v>
      </c>
    </row>
    <row r="18" spans="1:5" x14ac:dyDescent="0.35">
      <c r="A18" s="7"/>
      <c r="B18" s="8">
        <f t="shared" si="0"/>
        <v>9.9426185469431161E-4</v>
      </c>
      <c r="C18" s="4">
        <v>1826585.1</v>
      </c>
      <c r="E18" s="9">
        <f t="shared" si="1"/>
        <v>3.9829826911053079E-3</v>
      </c>
    </row>
    <row r="19" spans="1:5" x14ac:dyDescent="0.35">
      <c r="A19" s="7"/>
      <c r="B19" s="8">
        <f t="shared" si="0"/>
        <v>1.3812660576273394E-4</v>
      </c>
      <c r="C19" s="4">
        <v>1826837.4</v>
      </c>
      <c r="E19" s="9">
        <f t="shared" si="1"/>
        <v>5.5262090734808922E-4</v>
      </c>
    </row>
    <row r="20" spans="1:5" x14ac:dyDescent="0.35">
      <c r="A20" s="7">
        <v>1998</v>
      </c>
      <c r="B20" s="8">
        <f t="shared" si="0"/>
        <v>2.6270537268398009E-3</v>
      </c>
      <c r="C20" s="4">
        <v>1831636.6</v>
      </c>
      <c r="E20" s="9">
        <f t="shared" si="1"/>
        <v>1.0549695944203963E-2</v>
      </c>
    </row>
    <row r="21" spans="1:5" x14ac:dyDescent="0.35">
      <c r="A21" s="7"/>
      <c r="B21" s="8">
        <f t="shared" si="0"/>
        <v>1.414254334074716E-3</v>
      </c>
      <c r="C21" s="4">
        <v>1834227</v>
      </c>
      <c r="E21" s="9">
        <f t="shared" si="1"/>
        <v>5.6690293469148223E-3</v>
      </c>
    </row>
    <row r="22" spans="1:5" x14ac:dyDescent="0.35">
      <c r="A22" s="7"/>
      <c r="B22" s="8">
        <f t="shared" si="0"/>
        <v>-2.1903504855179667E-3</v>
      </c>
      <c r="C22" s="4">
        <v>1830209.4</v>
      </c>
      <c r="E22" s="9">
        <f t="shared" si="1"/>
        <v>-8.732658141568872E-3</v>
      </c>
    </row>
    <row r="23" spans="1:5" x14ac:dyDescent="0.35">
      <c r="A23" s="7"/>
      <c r="B23" s="8">
        <f t="shared" si="0"/>
        <v>9.6284064544760462E-4</v>
      </c>
      <c r="C23" s="4">
        <v>1831971.6</v>
      </c>
      <c r="E23" s="9">
        <f t="shared" si="1"/>
        <v>3.856928525753478E-3</v>
      </c>
    </row>
    <row r="24" spans="1:5" x14ac:dyDescent="0.35">
      <c r="A24" s="7">
        <v>1999</v>
      </c>
      <c r="B24" s="8">
        <f t="shared" si="0"/>
        <v>9.6107385070816065E-3</v>
      </c>
      <c r="C24" s="4">
        <v>1849578.2</v>
      </c>
      <c r="E24" s="9">
        <f t="shared" si="1"/>
        <v>3.9000711160986912E-2</v>
      </c>
    </row>
    <row r="25" spans="1:5" x14ac:dyDescent="0.35">
      <c r="A25" s="7"/>
      <c r="B25" s="8">
        <f t="shared" si="0"/>
        <v>7.9588957093028601E-3</v>
      </c>
      <c r="C25" s="4">
        <v>1864298.8</v>
      </c>
      <c r="E25" s="9">
        <f t="shared" si="1"/>
        <v>3.2217667568970487E-2</v>
      </c>
    </row>
    <row r="26" spans="1:5" x14ac:dyDescent="0.35">
      <c r="A26" s="7"/>
      <c r="B26" s="8">
        <f t="shared" si="0"/>
        <v>1.0918957840878374E-2</v>
      </c>
      <c r="C26" s="4">
        <v>1884655</v>
      </c>
      <c r="E26" s="9">
        <f t="shared" si="1"/>
        <v>4.4396394611384782E-2</v>
      </c>
    </row>
    <row r="27" spans="1:5" x14ac:dyDescent="0.35">
      <c r="A27" s="7"/>
      <c r="B27" s="8">
        <f t="shared" si="0"/>
        <v>1.0999838166667164E-2</v>
      </c>
      <c r="C27" s="4">
        <v>1905385.9</v>
      </c>
      <c r="E27" s="9">
        <f t="shared" si="1"/>
        <v>4.4730669709985849E-2</v>
      </c>
    </row>
    <row r="28" spans="1:5" x14ac:dyDescent="0.35">
      <c r="A28" s="7">
        <v>2000</v>
      </c>
      <c r="B28" s="8">
        <f t="shared" si="0"/>
        <v>1.1688393411539488E-2</v>
      </c>
      <c r="C28" s="4">
        <v>1927656.8</v>
      </c>
      <c r="E28" s="9">
        <f t="shared" si="1"/>
        <v>4.7579690959037801E-2</v>
      </c>
    </row>
    <row r="29" spans="1:5" x14ac:dyDescent="0.35">
      <c r="A29" s="7"/>
      <c r="B29" s="8">
        <f t="shared" si="0"/>
        <v>9.1998741684722329E-3</v>
      </c>
      <c r="C29" s="4">
        <v>1945391</v>
      </c>
      <c r="E29" s="9">
        <f t="shared" si="1"/>
        <v>3.7310444569917944E-2</v>
      </c>
    </row>
    <row r="30" spans="1:5" x14ac:dyDescent="0.35">
      <c r="A30" s="7"/>
      <c r="B30" s="8">
        <f t="shared" si="0"/>
        <v>9.9039730316425878E-3</v>
      </c>
      <c r="C30" s="4">
        <v>1964658.1</v>
      </c>
      <c r="E30" s="9">
        <f t="shared" si="1"/>
        <v>4.0208319709466478E-2</v>
      </c>
    </row>
    <row r="31" spans="1:5" x14ac:dyDescent="0.35">
      <c r="A31" s="7"/>
      <c r="B31" s="8">
        <f t="shared" si="0"/>
        <v>8.5095722253147876E-3</v>
      </c>
      <c r="C31" s="4">
        <v>1981376.5</v>
      </c>
      <c r="E31" s="9">
        <f t="shared" si="1"/>
        <v>3.4475235870091492E-2</v>
      </c>
    </row>
    <row r="32" spans="1:5" x14ac:dyDescent="0.35">
      <c r="A32" s="7">
        <v>2001</v>
      </c>
      <c r="B32" s="8">
        <f t="shared" si="0"/>
        <v>6.1451218382775341E-3</v>
      </c>
      <c r="C32" s="4">
        <v>1993552.3</v>
      </c>
      <c r="E32" s="9">
        <f t="shared" si="1"/>
        <v>2.4807992134766366E-2</v>
      </c>
    </row>
    <row r="33" spans="1:9" x14ac:dyDescent="0.35">
      <c r="A33" s="7"/>
      <c r="B33" s="8">
        <f t="shared" si="0"/>
        <v>4.9970096094293925E-3</v>
      </c>
      <c r="C33" s="4">
        <v>2003514.1</v>
      </c>
      <c r="E33" s="9">
        <f t="shared" si="1"/>
        <v>2.0138358794863365E-2</v>
      </c>
    </row>
    <row r="34" spans="1:9" x14ac:dyDescent="0.35">
      <c r="A34" s="7"/>
      <c r="B34" s="8">
        <f t="shared" si="0"/>
        <v>2.6574806735824019E-3</v>
      </c>
      <c r="C34" s="4">
        <v>2008838.4</v>
      </c>
      <c r="D34" s="9"/>
      <c r="E34" s="9">
        <f t="shared" si="1"/>
        <v>1.0672371036064554E-2</v>
      </c>
      <c r="F34" s="10"/>
      <c r="G34" s="10"/>
      <c r="H34" s="10"/>
      <c r="I34" s="10"/>
    </row>
    <row r="35" spans="1:9" x14ac:dyDescent="0.35">
      <c r="A35" s="7"/>
      <c r="B35" s="8">
        <f t="shared" si="0"/>
        <v>7.6932022008342482E-3</v>
      </c>
      <c r="C35" s="4">
        <v>2024292.8</v>
      </c>
      <c r="D35" s="9"/>
      <c r="E35" s="9">
        <f t="shared" si="1"/>
        <v>3.1129745766631745E-2</v>
      </c>
      <c r="F35" s="10"/>
      <c r="G35" s="10"/>
      <c r="H35" s="10"/>
      <c r="I35" s="10"/>
    </row>
    <row r="36" spans="1:9" x14ac:dyDescent="0.35">
      <c r="A36" s="7">
        <v>2002</v>
      </c>
      <c r="B36" s="8">
        <f t="shared" ref="B36:B67" si="2">(1+E36)^(1/4)-1</f>
        <v>1.0859990214854287E-2</v>
      </c>
      <c r="C36" s="4">
        <v>2046276.6</v>
      </c>
      <c r="D36" s="9"/>
      <c r="E36" s="9">
        <f t="shared" si="1"/>
        <v>4.4152734376291747E-2</v>
      </c>
      <c r="F36" s="10"/>
      <c r="G36" s="10"/>
      <c r="H36" s="10"/>
      <c r="I36" s="10"/>
    </row>
    <row r="37" spans="1:9" x14ac:dyDescent="0.35">
      <c r="A37" s="7"/>
      <c r="B37" s="8">
        <f t="shared" si="2"/>
        <v>1.2688607200023627E-2</v>
      </c>
      <c r="C37" s="4">
        <v>2072241</v>
      </c>
      <c r="D37" s="9"/>
      <c r="E37" s="9">
        <f t="shared" ref="E37:E68" si="3">POWER(C37/C36,4)-1</f>
        <v>5.1728630738634207E-2</v>
      </c>
      <c r="F37" s="10"/>
      <c r="G37" s="10"/>
      <c r="H37" s="10"/>
      <c r="I37" s="10"/>
    </row>
    <row r="38" spans="1:9" x14ac:dyDescent="0.35">
      <c r="A38" s="7"/>
      <c r="B38" s="8">
        <f t="shared" si="2"/>
        <v>1.1318278134637705E-2</v>
      </c>
      <c r="C38" s="4">
        <v>2095695.2</v>
      </c>
      <c r="D38" s="9"/>
      <c r="E38" s="9">
        <f t="shared" si="3"/>
        <v>4.6047549109182295E-2</v>
      </c>
      <c r="F38" s="10"/>
      <c r="G38" s="10"/>
      <c r="H38" s="10"/>
      <c r="I38" s="10"/>
    </row>
    <row r="39" spans="1:9" x14ac:dyDescent="0.35">
      <c r="A39" s="7"/>
      <c r="B39" s="8">
        <f t="shared" si="2"/>
        <v>8.3199121704340406E-3</v>
      </c>
      <c r="C39" s="4">
        <v>2113131.2000000002</v>
      </c>
      <c r="D39" s="9"/>
      <c r="E39" s="9">
        <f t="shared" si="3"/>
        <v>3.3697282752932489E-2</v>
      </c>
      <c r="F39" s="10"/>
      <c r="G39" s="10"/>
      <c r="H39" s="10"/>
      <c r="I39" s="10"/>
    </row>
    <row r="40" spans="1:9" x14ac:dyDescent="0.35">
      <c r="A40" s="7">
        <v>2003</v>
      </c>
      <c r="B40" s="8">
        <f t="shared" si="2"/>
        <v>6.3476891543696734E-3</v>
      </c>
      <c r="C40" s="4">
        <v>2126544.7000000002</v>
      </c>
      <c r="D40" s="9"/>
      <c r="E40" s="9">
        <f t="shared" si="3"/>
        <v>2.5633540260378229E-2</v>
      </c>
      <c r="F40" s="10"/>
      <c r="G40" s="10"/>
      <c r="H40" s="10"/>
      <c r="I40" s="10"/>
    </row>
    <row r="41" spans="1:9" x14ac:dyDescent="0.35">
      <c r="A41" s="7"/>
      <c r="B41" s="8">
        <f t="shared" si="2"/>
        <v>4.8837440379221331E-3</v>
      </c>
      <c r="C41" s="4">
        <v>2136930.2000000002</v>
      </c>
      <c r="D41" s="9"/>
      <c r="E41" s="9">
        <f t="shared" si="3"/>
        <v>1.9678548383377459E-2</v>
      </c>
      <c r="F41" s="10"/>
      <c r="G41" s="10"/>
      <c r="H41" s="10"/>
      <c r="I41" s="10"/>
    </row>
    <row r="42" spans="1:9" x14ac:dyDescent="0.35">
      <c r="A42" s="7"/>
      <c r="B42" s="8">
        <f t="shared" si="2"/>
        <v>5.4268969571396042E-3</v>
      </c>
      <c r="C42" s="4">
        <v>2148527.1</v>
      </c>
      <c r="D42" s="9"/>
      <c r="E42" s="9">
        <f t="shared" si="3"/>
        <v>2.1884935274173012E-2</v>
      </c>
      <c r="F42" s="10"/>
      <c r="G42" s="10"/>
      <c r="H42" s="10"/>
      <c r="I42" s="10"/>
    </row>
    <row r="43" spans="1:9" x14ac:dyDescent="0.35">
      <c r="A43" s="7"/>
      <c r="B43" s="8">
        <f t="shared" si="2"/>
        <v>5.7693477545617267E-3</v>
      </c>
      <c r="C43" s="4">
        <v>2160922.7000000002</v>
      </c>
      <c r="D43" s="9"/>
      <c r="E43" s="9">
        <f t="shared" si="3"/>
        <v>2.3277872506821007E-2</v>
      </c>
      <c r="F43" s="10"/>
      <c r="G43" s="10"/>
      <c r="H43" s="10"/>
      <c r="I43" s="10"/>
    </row>
    <row r="44" spans="1:9" x14ac:dyDescent="0.35">
      <c r="A44" s="7">
        <v>2004</v>
      </c>
      <c r="B44" s="8">
        <f t="shared" si="2"/>
        <v>1.5137792758620927E-2</v>
      </c>
      <c r="C44" s="4">
        <v>2193634.2999999998</v>
      </c>
      <c r="D44" s="9"/>
      <c r="E44" s="9">
        <f t="shared" si="3"/>
        <v>6.1940015631638534E-2</v>
      </c>
      <c r="F44" s="10"/>
      <c r="G44" s="10"/>
      <c r="H44" s="10"/>
      <c r="I44" s="10"/>
    </row>
    <row r="45" spans="1:9" x14ac:dyDescent="0.35">
      <c r="A45" s="7"/>
      <c r="B45" s="8">
        <f t="shared" si="2"/>
        <v>1.3974480614202811E-2</v>
      </c>
      <c r="C45" s="4">
        <v>2224289.2000000002</v>
      </c>
      <c r="D45" s="9"/>
      <c r="E45" s="9">
        <f t="shared" si="3"/>
        <v>5.70805933318419E-2</v>
      </c>
      <c r="F45" s="10"/>
      <c r="G45" s="10"/>
      <c r="H45" s="10"/>
      <c r="I45" s="10"/>
    </row>
    <row r="46" spans="1:9" x14ac:dyDescent="0.35">
      <c r="A46" s="7"/>
      <c r="B46" s="8">
        <f t="shared" si="2"/>
        <v>1.6351156135631983E-2</v>
      </c>
      <c r="C46" s="4">
        <v>2260658.9</v>
      </c>
      <c r="E46" s="9">
        <f t="shared" si="3"/>
        <v>6.7026344466387666E-2</v>
      </c>
    </row>
    <row r="47" spans="1:9" x14ac:dyDescent="0.35">
      <c r="A47" s="7"/>
      <c r="B47" s="8">
        <f t="shared" si="2"/>
        <v>1.0679320086723454E-2</v>
      </c>
      <c r="C47" s="4">
        <v>2284801.2000000002</v>
      </c>
      <c r="E47" s="9">
        <f t="shared" si="3"/>
        <v>4.3406452434057385E-2</v>
      </c>
    </row>
    <row r="48" spans="1:9" x14ac:dyDescent="0.35">
      <c r="A48" s="7">
        <v>2005</v>
      </c>
      <c r="B48" s="8">
        <f t="shared" si="2"/>
        <v>1.0166048582257448E-2</v>
      </c>
      <c r="C48" s="4">
        <v>2308028.6</v>
      </c>
      <c r="E48" s="9">
        <f t="shared" si="3"/>
        <v>4.1288498857880107E-2</v>
      </c>
    </row>
    <row r="49" spans="1:5" x14ac:dyDescent="0.35">
      <c r="A49" s="7"/>
      <c r="B49" s="8">
        <f t="shared" si="2"/>
        <v>1.7945531524176106E-2</v>
      </c>
      <c r="C49" s="4">
        <v>2349447.4</v>
      </c>
      <c r="E49" s="9">
        <f t="shared" si="3"/>
        <v>7.3737599284682487E-2</v>
      </c>
    </row>
    <row r="50" spans="1:5" x14ac:dyDescent="0.35">
      <c r="A50" s="7"/>
      <c r="B50" s="8">
        <f t="shared" si="2"/>
        <v>1.3636227821061331E-2</v>
      </c>
      <c r="C50" s="4">
        <v>2381485</v>
      </c>
      <c r="E50" s="9">
        <f t="shared" si="3"/>
        <v>5.567076856230746E-2</v>
      </c>
    </row>
    <row r="51" spans="1:5" x14ac:dyDescent="0.35">
      <c r="A51" s="7"/>
      <c r="B51" s="8">
        <f t="shared" si="2"/>
        <v>6.6935546518245292E-3</v>
      </c>
      <c r="C51" s="4">
        <v>2397425.6</v>
      </c>
      <c r="E51" s="9">
        <f t="shared" si="3"/>
        <v>2.7044242241287764E-2</v>
      </c>
    </row>
    <row r="52" spans="1:5" x14ac:dyDescent="0.35">
      <c r="A52" s="7">
        <v>2006</v>
      </c>
      <c r="B52" s="8">
        <f t="shared" si="2"/>
        <v>1.7571723602183953E-2</v>
      </c>
      <c r="C52" s="4">
        <v>2439552.5</v>
      </c>
      <c r="E52" s="9">
        <f t="shared" si="3"/>
        <v>7.2161284732972453E-2</v>
      </c>
    </row>
    <row r="53" spans="1:5" x14ac:dyDescent="0.35">
      <c r="A53" s="7"/>
      <c r="B53" s="8">
        <f t="shared" si="2"/>
        <v>1.4202440816502238E-2</v>
      </c>
      <c r="C53" s="4">
        <v>2474200.1</v>
      </c>
      <c r="E53" s="9">
        <f t="shared" si="3"/>
        <v>5.8031518962548434E-2</v>
      </c>
    </row>
    <row r="54" spans="1:5" x14ac:dyDescent="0.35">
      <c r="A54" s="7"/>
      <c r="B54" s="8">
        <f t="shared" si="2"/>
        <v>1.3811494066304553E-2</v>
      </c>
      <c r="C54" s="4">
        <v>2508372.5</v>
      </c>
      <c r="E54" s="9">
        <f t="shared" si="3"/>
        <v>5.6401095440697047E-2</v>
      </c>
    </row>
    <row r="55" spans="1:5" x14ac:dyDescent="0.35">
      <c r="A55" s="7"/>
      <c r="B55" s="8">
        <f t="shared" si="2"/>
        <v>1.3828169460476936E-2</v>
      </c>
      <c r="C55" s="4">
        <v>2543058.7000000002</v>
      </c>
      <c r="E55" s="9">
        <f t="shared" si="3"/>
        <v>5.6470600824701345E-2</v>
      </c>
    </row>
    <row r="56" spans="1:5" x14ac:dyDescent="0.35">
      <c r="A56" s="7">
        <v>2007</v>
      </c>
      <c r="B56" s="8">
        <f t="shared" si="2"/>
        <v>1.6236668072191929E-2</v>
      </c>
      <c r="C56" s="4">
        <v>2584349.5</v>
      </c>
      <c r="E56" s="9">
        <f t="shared" si="3"/>
        <v>6.6545639981345994E-2</v>
      </c>
    </row>
    <row r="57" spans="1:5" x14ac:dyDescent="0.35">
      <c r="A57" s="7"/>
      <c r="B57" s="8">
        <f t="shared" si="2"/>
        <v>8.1955633322816634E-3</v>
      </c>
      <c r="C57" s="4">
        <v>2605529.7000000002</v>
      </c>
      <c r="E57" s="9">
        <f t="shared" si="3"/>
        <v>3.3187463284646057E-2</v>
      </c>
    </row>
    <row r="58" spans="1:5" x14ac:dyDescent="0.35">
      <c r="A58" s="7"/>
      <c r="B58" s="8">
        <f t="shared" si="2"/>
        <v>1.1719344438867685E-2</v>
      </c>
      <c r="C58" s="4">
        <v>2636064.7999999998</v>
      </c>
      <c r="E58" s="9">
        <f t="shared" si="3"/>
        <v>4.7707893104331101E-2</v>
      </c>
    </row>
    <row r="59" spans="1:5" x14ac:dyDescent="0.35">
      <c r="A59" s="7"/>
      <c r="B59" s="8">
        <f t="shared" si="2"/>
        <v>1.4170782144657501E-2</v>
      </c>
      <c r="C59" s="4">
        <v>2673419.9</v>
      </c>
      <c r="E59" s="9">
        <f t="shared" si="3"/>
        <v>5.7899417902770312E-2</v>
      </c>
    </row>
    <row r="60" spans="1:5" x14ac:dyDescent="0.35">
      <c r="A60" s="7">
        <v>2008</v>
      </c>
      <c r="B60" s="8">
        <f t="shared" si="2"/>
        <v>4.200088433545357E-3</v>
      </c>
      <c r="C60" s="4">
        <v>2684648.5</v>
      </c>
      <c r="E60" s="9">
        <f t="shared" si="3"/>
        <v>1.6906494873194955E-2</v>
      </c>
    </row>
    <row r="61" spans="1:5" x14ac:dyDescent="0.35">
      <c r="A61" s="7"/>
      <c r="B61" s="8">
        <f t="shared" si="2"/>
        <v>1.2208898110870114E-2</v>
      </c>
      <c r="C61" s="4">
        <v>2717425.1</v>
      </c>
      <c r="E61" s="9">
        <f t="shared" si="3"/>
        <v>4.973723711634892E-2</v>
      </c>
    </row>
    <row r="62" spans="1:5" x14ac:dyDescent="0.35">
      <c r="A62" s="7"/>
      <c r="B62" s="8">
        <f t="shared" si="2"/>
        <v>2.3893574840387899E-3</v>
      </c>
      <c r="C62" s="4">
        <v>2723918</v>
      </c>
      <c r="E62" s="9">
        <f t="shared" si="3"/>
        <v>9.5917387075137306E-3</v>
      </c>
    </row>
    <row r="63" spans="1:5" x14ac:dyDescent="0.35">
      <c r="A63" s="7"/>
      <c r="B63" s="8">
        <f t="shared" si="2"/>
        <v>-5.692462107890095E-3</v>
      </c>
      <c r="C63" s="4">
        <v>2708412.2</v>
      </c>
      <c r="E63" s="9">
        <f t="shared" si="3"/>
        <v>-2.2576160469445994E-2</v>
      </c>
    </row>
    <row r="64" spans="1:5" x14ac:dyDescent="0.35">
      <c r="A64" s="7">
        <v>2009</v>
      </c>
      <c r="B64" s="8">
        <f t="shared" si="2"/>
        <v>-1.5555387027129886E-2</v>
      </c>
      <c r="C64" s="4">
        <v>2666281.7999999998</v>
      </c>
      <c r="E64" s="9">
        <f t="shared" si="3"/>
        <v>-6.0784724917699373E-2</v>
      </c>
    </row>
    <row r="65" spans="1:5" x14ac:dyDescent="0.35">
      <c r="A65" s="7"/>
      <c r="B65" s="8">
        <f t="shared" si="2"/>
        <v>-3.4321203407682299E-3</v>
      </c>
      <c r="C65" s="4">
        <v>2657130.7999999998</v>
      </c>
      <c r="E65" s="9">
        <f t="shared" si="3"/>
        <v>-1.3657966238076691E-2</v>
      </c>
    </row>
    <row r="66" spans="1:5" x14ac:dyDescent="0.35">
      <c r="A66" s="7"/>
      <c r="B66" s="8">
        <f t="shared" si="2"/>
        <v>2.3190804156123512E-3</v>
      </c>
      <c r="C66" s="4">
        <v>2663292.9</v>
      </c>
      <c r="E66" s="9">
        <f t="shared" si="3"/>
        <v>9.3086403845190624E-3</v>
      </c>
    </row>
    <row r="67" spans="1:5" x14ac:dyDescent="0.35">
      <c r="A67" s="7"/>
      <c r="B67" s="8">
        <f t="shared" si="2"/>
        <v>6.6697508186199794E-3</v>
      </c>
      <c r="C67" s="4">
        <v>2681056.4</v>
      </c>
      <c r="E67" s="9">
        <f t="shared" si="3"/>
        <v>2.6947105540168659E-2</v>
      </c>
    </row>
    <row r="68" spans="1:5" x14ac:dyDescent="0.35">
      <c r="A68" s="7">
        <v>2010</v>
      </c>
      <c r="B68" s="8">
        <f t="shared" ref="B68:B99" si="4">(1+E68)^(1/4)-1</f>
        <v>1.138297115276532E-2</v>
      </c>
      <c r="C68" s="4">
        <v>2711574.7876601368</v>
      </c>
      <c r="E68" s="9">
        <f t="shared" si="3"/>
        <v>4.6315233252382848E-2</v>
      </c>
    </row>
    <row r="69" spans="1:5" x14ac:dyDescent="0.35">
      <c r="A69" s="7"/>
      <c r="B69" s="8">
        <f t="shared" si="4"/>
        <v>6.8224369209151092E-3</v>
      </c>
      <c r="C69" s="4">
        <v>2730074.3356052916</v>
      </c>
      <c r="E69" s="9">
        <f t="shared" ref="E69:E100" si="5">POWER(C69/C68,4)-1</f>
        <v>2.7570293942319246E-2</v>
      </c>
    </row>
    <row r="70" spans="1:5" x14ac:dyDescent="0.35">
      <c r="A70" s="7"/>
      <c r="B70" s="8">
        <f t="shared" si="4"/>
        <v>1.1117478992437979E-2</v>
      </c>
      <c r="C70" s="4">
        <v>2760425.8796791774</v>
      </c>
      <c r="E70" s="9">
        <f t="shared" si="5"/>
        <v>4.5217017688940819E-2</v>
      </c>
    </row>
    <row r="71" spans="1:5" x14ac:dyDescent="0.35">
      <c r="A71" s="7"/>
      <c r="B71" s="8">
        <f t="shared" si="4"/>
        <v>1.0697965294457656E-2</v>
      </c>
      <c r="C71" s="4">
        <v>2789956.8199379081</v>
      </c>
      <c r="E71" s="9">
        <f t="shared" si="5"/>
        <v>4.3483450421561765E-2</v>
      </c>
    </row>
    <row r="72" spans="1:5" x14ac:dyDescent="0.35">
      <c r="A72" s="7">
        <v>2011</v>
      </c>
      <c r="B72" s="8">
        <f t="shared" si="4"/>
        <v>9.5045655193879419E-3</v>
      </c>
      <c r="C72" s="4">
        <v>2816474.1473292713</v>
      </c>
      <c r="E72" s="9">
        <f t="shared" si="5"/>
        <v>3.8563725279391114E-2</v>
      </c>
    </row>
    <row r="73" spans="1:5" x14ac:dyDescent="0.35">
      <c r="A73" s="7"/>
      <c r="B73" s="8">
        <f t="shared" si="4"/>
        <v>5.7495169786434541E-3</v>
      </c>
      <c r="C73" s="4">
        <v>2832667.5132592516</v>
      </c>
      <c r="E73" s="9">
        <f t="shared" si="5"/>
        <v>2.3197170926138933E-2</v>
      </c>
    </row>
    <row r="74" spans="1:5" x14ac:dyDescent="0.35">
      <c r="A74" s="7"/>
      <c r="B74" s="8">
        <f t="shared" si="4"/>
        <v>2.9824618233837974E-3</v>
      </c>
      <c r="C74" s="4">
        <v>2841115.8359758868</v>
      </c>
      <c r="E74" s="9">
        <f t="shared" si="5"/>
        <v>1.1983323960753856E-2</v>
      </c>
    </row>
    <row r="75" spans="1:5" x14ac:dyDescent="0.35">
      <c r="A75" s="7"/>
      <c r="B75" s="8">
        <f t="shared" si="4"/>
        <v>7.6220534955915298E-3</v>
      </c>
      <c r="C75" s="4">
        <v>2862770.9728648672</v>
      </c>
      <c r="E75" s="9">
        <f t="shared" si="5"/>
        <v>3.0838562788531698E-2</v>
      </c>
    </row>
    <row r="76" spans="1:5" x14ac:dyDescent="0.35">
      <c r="A76" s="7">
        <v>2012</v>
      </c>
      <c r="B76" s="8">
        <f t="shared" si="4"/>
        <v>4.0008368109192283E-3</v>
      </c>
      <c r="C76" s="4">
        <v>2874224.4523543357</v>
      </c>
      <c r="E76" s="9">
        <f t="shared" si="5"/>
        <v>1.6099643831718025E-2</v>
      </c>
    </row>
    <row r="77" spans="1:5" x14ac:dyDescent="0.35">
      <c r="A77" s="7"/>
      <c r="B77" s="8">
        <f t="shared" si="4"/>
        <v>8.9770362836656403E-3</v>
      </c>
      <c r="C77" s="4">
        <v>2900026.4695505193</v>
      </c>
      <c r="E77" s="9">
        <f t="shared" si="5"/>
        <v>3.6394568447757125E-2</v>
      </c>
    </row>
    <row r="78" spans="1:5" x14ac:dyDescent="0.35">
      <c r="A78" s="7"/>
      <c r="B78" s="8">
        <f t="shared" si="4"/>
        <v>2.9905428237682052E-3</v>
      </c>
      <c r="C78" s="4">
        <v>2908699.1228977712</v>
      </c>
      <c r="E78" s="9">
        <f t="shared" si="5"/>
        <v>1.2015938435182338E-2</v>
      </c>
    </row>
    <row r="79" spans="1:5" x14ac:dyDescent="0.35">
      <c r="A79" s="7"/>
      <c r="B79" s="8">
        <f t="shared" si="4"/>
        <v>4.3531471054831794E-3</v>
      </c>
      <c r="C79" s="4">
        <v>2921361.1180653353</v>
      </c>
      <c r="E79" s="9">
        <f t="shared" si="5"/>
        <v>1.7526618085993428E-2</v>
      </c>
    </row>
    <row r="80" spans="1:5" x14ac:dyDescent="0.35">
      <c r="A80" s="7">
        <v>2013</v>
      </c>
      <c r="B80" s="8">
        <f t="shared" si="4"/>
        <v>4.1413633485312129E-3</v>
      </c>
      <c r="C80" s="4">
        <v>2933459.535927515</v>
      </c>
      <c r="E80" s="9">
        <f t="shared" si="5"/>
        <v>1.6668643142860651E-2</v>
      </c>
    </row>
    <row r="81" spans="1:14" x14ac:dyDescent="0.35">
      <c r="A81" s="7"/>
      <c r="B81" s="8">
        <f t="shared" si="4"/>
        <v>1.0600076734053276E-2</v>
      </c>
      <c r="C81" s="4">
        <v>2964554.4321045871</v>
      </c>
      <c r="E81" s="9">
        <f t="shared" si="5"/>
        <v>4.3079253489417768E-2</v>
      </c>
    </row>
    <row r="82" spans="1:14" x14ac:dyDescent="0.35">
      <c r="A82" s="7"/>
      <c r="B82" s="8">
        <f t="shared" si="4"/>
        <v>4.5909751263382148E-3</v>
      </c>
      <c r="C82" s="4">
        <v>2978164.6277630548</v>
      </c>
      <c r="E82" s="9">
        <f t="shared" si="5"/>
        <v>1.8490750322155858E-2</v>
      </c>
    </row>
    <row r="83" spans="1:14" x14ac:dyDescent="0.35">
      <c r="A83" s="7"/>
      <c r="B83" s="8">
        <f t="shared" si="4"/>
        <v>1.2879818011360955E-2</v>
      </c>
      <c r="C83" s="4">
        <v>3016522.8461765158</v>
      </c>
      <c r="E83" s="9">
        <f t="shared" si="5"/>
        <v>5.2523184354077435E-2</v>
      </c>
    </row>
    <row r="84" spans="1:14" x14ac:dyDescent="0.35">
      <c r="A84" s="7">
        <v>2014</v>
      </c>
      <c r="B84" s="8">
        <f t="shared" si="4"/>
        <v>-3.9009293603420314E-3</v>
      </c>
      <c r="C84" s="4">
        <v>3004755.6036397233</v>
      </c>
      <c r="E84" s="9">
        <f t="shared" si="5"/>
        <v>-1.5512651156224355E-2</v>
      </c>
      <c r="F84" s="11"/>
      <c r="G84" s="12"/>
    </row>
    <row r="85" spans="1:14" x14ac:dyDescent="0.35">
      <c r="A85" s="7"/>
      <c r="B85" s="8">
        <f t="shared" si="4"/>
        <v>2.4420422558701915E-3</v>
      </c>
      <c r="C85" s="4">
        <v>3012093.3437923742</v>
      </c>
      <c r="E85" s="9">
        <f t="shared" si="5"/>
        <v>9.8040087344852811E-3</v>
      </c>
    </row>
    <row r="86" spans="1:14" x14ac:dyDescent="0.35">
      <c r="A86" s="7"/>
      <c r="B86" s="8">
        <f t="shared" si="4"/>
        <v>6.3747393735047453E-3</v>
      </c>
      <c r="C86" s="4">
        <v>3031294.6538277194</v>
      </c>
      <c r="E86" s="9">
        <f t="shared" si="5"/>
        <v>2.5743819166728299E-2</v>
      </c>
    </row>
    <row r="87" spans="1:14" x14ac:dyDescent="0.35">
      <c r="A87" s="7"/>
      <c r="B87" s="8">
        <f t="shared" si="4"/>
        <v>1.0860248839266617E-2</v>
      </c>
      <c r="C87" s="4">
        <v>3064215.268073427</v>
      </c>
      <c r="E87" s="9">
        <f t="shared" si="5"/>
        <v>4.4153802945603449E-2</v>
      </c>
    </row>
    <row r="88" spans="1:14" x14ac:dyDescent="0.35">
      <c r="A88" s="7">
        <v>2015</v>
      </c>
      <c r="B88" s="8">
        <f t="shared" si="4"/>
        <v>4.2523942008494409E-3</v>
      </c>
      <c r="C88" s="4">
        <v>3077245.519309537</v>
      </c>
      <c r="E88" s="9">
        <f t="shared" si="5"/>
        <v>1.7118381850759201E-2</v>
      </c>
    </row>
    <row r="89" spans="1:14" x14ac:dyDescent="0.35">
      <c r="A89" s="7"/>
      <c r="B89" s="8">
        <f t="shared" si="4"/>
        <v>-5.9114274612812601E-3</v>
      </c>
      <c r="C89" s="4">
        <v>3059054.6056415858</v>
      </c>
      <c r="E89" s="9">
        <f t="shared" si="5"/>
        <v>-2.3436865074924484E-2</v>
      </c>
      <c r="N89" s="13"/>
    </row>
    <row r="90" spans="1:14" x14ac:dyDescent="0.35">
      <c r="A90" s="7"/>
      <c r="B90" s="8">
        <f t="shared" si="4"/>
        <v>-1.0029534782740601E-4</v>
      </c>
      <c r="C90" s="4">
        <v>3058747.7966958899</v>
      </c>
      <c r="E90" s="9">
        <f t="shared" si="5"/>
        <v>-4.0112104040423979E-4</v>
      </c>
    </row>
    <row r="91" spans="1:14" x14ac:dyDescent="0.35">
      <c r="A91" s="7"/>
      <c r="B91" s="8">
        <f t="shared" si="4"/>
        <v>1.0307405333938036E-3</v>
      </c>
      <c r="C91" s="4">
        <v>3061900.5720313732</v>
      </c>
      <c r="E91" s="9">
        <f t="shared" si="5"/>
        <v>4.1293410713292289E-3</v>
      </c>
    </row>
    <row r="92" spans="1:14" x14ac:dyDescent="0.35">
      <c r="A92" s="7">
        <v>2016</v>
      </c>
      <c r="B92" s="8">
        <f t="shared" si="4"/>
        <v>-2.4541804192879102E-3</v>
      </c>
      <c r="C92" s="4">
        <v>3054386.1156016872</v>
      </c>
      <c r="E92" s="9">
        <f t="shared" si="5"/>
        <v>-9.780642757822311E-3</v>
      </c>
    </row>
    <row r="93" spans="1:14" x14ac:dyDescent="0.35">
      <c r="A93" s="7"/>
      <c r="B93" s="8">
        <f t="shared" si="4"/>
        <v>7.8887853552405129E-3</v>
      </c>
      <c r="C93" s="4">
        <v>3078481.5120596956</v>
      </c>
      <c r="E93" s="9">
        <f t="shared" si="5"/>
        <v>3.1930506669232139E-2</v>
      </c>
    </row>
    <row r="94" spans="1:14" x14ac:dyDescent="0.35">
      <c r="A94" s="7"/>
      <c r="B94" s="8">
        <f t="shared" si="4"/>
        <v>2.2319116617552925E-3</v>
      </c>
      <c r="C94" s="4">
        <v>3085352.4108469598</v>
      </c>
      <c r="E94" s="9">
        <f t="shared" si="5"/>
        <v>8.9575797222749554E-3</v>
      </c>
    </row>
    <row r="95" spans="1:14" x14ac:dyDescent="0.35">
      <c r="A95" s="7"/>
      <c r="B95" s="8">
        <f t="shared" si="4"/>
        <v>7.416226867711373E-4</v>
      </c>
      <c r="C95" s="4">
        <v>3087640.5781915281</v>
      </c>
      <c r="E95" s="9">
        <f t="shared" si="5"/>
        <v>2.9697924042266788E-3</v>
      </c>
    </row>
    <row r="96" spans="1:14" x14ac:dyDescent="0.35">
      <c r="A96" s="7">
        <v>2017</v>
      </c>
      <c r="B96" s="8">
        <f t="shared" si="4"/>
        <v>-6.4313069431998215E-4</v>
      </c>
      <c r="C96" s="4">
        <v>3085654.8217626652</v>
      </c>
      <c r="E96" s="9">
        <f t="shared" si="5"/>
        <v>-2.5700421386082306E-3</v>
      </c>
    </row>
    <row r="97" spans="1:13" x14ac:dyDescent="0.35">
      <c r="A97" s="7"/>
      <c r="B97" s="8">
        <f t="shared" si="4"/>
        <v>7.3102510956379874E-3</v>
      </c>
      <c r="C97" s="4">
        <v>3108211.7333042165</v>
      </c>
      <c r="E97" s="9">
        <f t="shared" si="5"/>
        <v>2.9563208497428883E-2</v>
      </c>
    </row>
    <row r="98" spans="1:13" x14ac:dyDescent="0.35">
      <c r="A98" s="7"/>
      <c r="B98" s="8">
        <f t="shared" si="4"/>
        <v>6.9224568003167786E-3</v>
      </c>
      <c r="C98" s="4">
        <v>3129728.1947542527</v>
      </c>
      <c r="E98" s="9">
        <f t="shared" si="5"/>
        <v>2.7978678854367223E-2</v>
      </c>
    </row>
    <row r="99" spans="1:13" x14ac:dyDescent="0.35">
      <c r="A99" s="7"/>
      <c r="B99" s="8">
        <f t="shared" si="4"/>
        <v>8.5036410506786897E-3</v>
      </c>
      <c r="C99" s="4">
        <v>3156342.2799086315</v>
      </c>
      <c r="D99" s="3"/>
      <c r="E99" s="9">
        <f t="shared" si="5"/>
        <v>3.4450900556583397E-2</v>
      </c>
      <c r="F99" s="3"/>
      <c r="G99" s="3"/>
      <c r="H99" s="3"/>
      <c r="I99" s="3"/>
      <c r="J99" s="3"/>
      <c r="K99" s="3"/>
      <c r="L99" s="3"/>
      <c r="M99" s="3"/>
    </row>
    <row r="100" spans="1:13" x14ac:dyDescent="0.35">
      <c r="A100">
        <v>2018</v>
      </c>
      <c r="B100" s="8">
        <f t="shared" ref="B100:B111" si="6">(1+E100)^(1/4)-1</f>
        <v>-6.8310561297731942E-3</v>
      </c>
      <c r="C100" s="4">
        <v>3134781.1286297995</v>
      </c>
      <c r="E100" s="9">
        <f t="shared" si="5"/>
        <v>-2.7045517413784914E-2</v>
      </c>
    </row>
    <row r="101" spans="1:13" x14ac:dyDescent="0.35">
      <c r="B101" s="8">
        <f t="shared" si="6"/>
        <v>-1.3119261097106483E-3</v>
      </c>
      <c r="C101" s="4">
        <v>3130668.5274189217</v>
      </c>
      <c r="E101" s="9">
        <f t="shared" ref="E101:E111" si="7">POWER(C101/C100,4)-1</f>
        <v>-5.2373865672633579E-3</v>
      </c>
    </row>
    <row r="102" spans="1:13" x14ac:dyDescent="0.35">
      <c r="B102" s="8">
        <f t="shared" si="6"/>
        <v>6.4895733356229446E-3</v>
      </c>
      <c r="C102" s="4">
        <v>3150985.2304171333</v>
      </c>
      <c r="E102" s="9">
        <f t="shared" si="7"/>
        <v>2.6212075710754901E-2</v>
      </c>
    </row>
    <row r="103" spans="1:13" x14ac:dyDescent="0.35">
      <c r="B103" s="8">
        <f t="shared" si="6"/>
        <v>3.40712809053767E-3</v>
      </c>
      <c r="C103" s="4">
        <v>3161721.0407085568</v>
      </c>
      <c r="E103" s="9">
        <f t="shared" si="7"/>
        <v>1.3698321834743732E-2</v>
      </c>
    </row>
    <row r="104" spans="1:13" x14ac:dyDescent="0.35">
      <c r="A104">
        <v>2019</v>
      </c>
      <c r="B104" s="8">
        <f t="shared" si="6"/>
        <v>-8.0396254426896574E-3</v>
      </c>
      <c r="C104" s="4">
        <v>3136301.9877869892</v>
      </c>
      <c r="E104" s="9">
        <f t="shared" si="7"/>
        <v>-3.1772762712773961E-2</v>
      </c>
    </row>
    <row r="105" spans="1:13" x14ac:dyDescent="0.35">
      <c r="B105" s="8">
        <f t="shared" si="6"/>
        <v>8.1671072462909944E-3</v>
      </c>
      <c r="C105" s="4">
        <v>3161916.5024780012</v>
      </c>
      <c r="E105" s="9">
        <f t="shared" si="7"/>
        <v>3.3070822316722204E-2</v>
      </c>
    </row>
    <row r="106" spans="1:13" x14ac:dyDescent="0.35">
      <c r="B106" s="8">
        <f t="shared" si="6"/>
        <v>-2.0957912915383625E-3</v>
      </c>
      <c r="C106" s="4">
        <v>3155289.7854075362</v>
      </c>
      <c r="E106" s="9">
        <f t="shared" si="7"/>
        <v>-8.3568479217558389E-3</v>
      </c>
    </row>
    <row r="107" spans="1:13" x14ac:dyDescent="0.35">
      <c r="B107" s="8">
        <f t="shared" si="6"/>
        <v>-3.6287930349054864E-3</v>
      </c>
      <c r="C107" s="4">
        <v>3143839.8918111408</v>
      </c>
      <c r="E107" s="9">
        <f t="shared" si="7"/>
        <v>-1.4436354270683682E-2</v>
      </c>
      <c r="F107" s="9"/>
      <c r="G107" s="10"/>
      <c r="H107" s="10"/>
      <c r="I107" s="10"/>
    </row>
    <row r="108" spans="1:13" x14ac:dyDescent="0.35">
      <c r="A108">
        <v>2020</v>
      </c>
      <c r="B108" s="8">
        <f t="shared" si="6"/>
        <v>-4.4062974576011271E-3</v>
      </c>
      <c r="C108" s="4">
        <v>3129987.1980887484</v>
      </c>
      <c r="E108" s="9">
        <f t="shared" si="7"/>
        <v>-1.7509038910855534E-2</v>
      </c>
    </row>
    <row r="109" spans="1:13" x14ac:dyDescent="0.35">
      <c r="B109" s="8">
        <f t="shared" si="6"/>
        <v>-0.16626354021440526</v>
      </c>
      <c r="C109" s="4">
        <v>2609584.4457087461</v>
      </c>
      <c r="E109" s="9">
        <f t="shared" si="7"/>
        <v>-0.51681307314900504</v>
      </c>
    </row>
    <row r="110" spans="1:13" x14ac:dyDescent="0.35">
      <c r="B110" s="8">
        <f t="shared" si="6"/>
        <v>0.13729306470105573</v>
      </c>
      <c r="C110" s="4">
        <v>2967862.2918563057</v>
      </c>
      <c r="E110" s="9">
        <f t="shared" si="7"/>
        <v>0.67297543150760175</v>
      </c>
    </row>
    <row r="111" spans="1:13" x14ac:dyDescent="0.35">
      <c r="B111" s="8">
        <f t="shared" si="6"/>
        <v>1.5272385144424083E-2</v>
      </c>
      <c r="C111" s="4">
        <v>3013188.6278331485</v>
      </c>
      <c r="E111" s="9">
        <f t="shared" si="7"/>
        <v>6.2503318344860004E-2</v>
      </c>
    </row>
    <row r="113" spans="1:1" x14ac:dyDescent="0.35">
      <c r="A113" t="s">
        <v>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52" zoomScaleNormal="52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4.5" x14ac:dyDescent="0.35"/>
  <cols>
    <col min="1" max="16384" width="8.7265625" style="4"/>
  </cols>
  <sheetData>
    <row r="1" spans="1:8" ht="26" x14ac:dyDescent="0.6">
      <c r="A1" s="1" t="s">
        <v>167</v>
      </c>
    </row>
    <row r="2" spans="1:8" x14ac:dyDescent="0.35">
      <c r="C2" s="4" t="s">
        <v>57</v>
      </c>
      <c r="D2" s="4" t="s">
        <v>17</v>
      </c>
      <c r="E2" s="4" t="s">
        <v>16</v>
      </c>
      <c r="F2" s="4" t="s">
        <v>15</v>
      </c>
      <c r="G2" s="4" t="s">
        <v>21</v>
      </c>
      <c r="H2" s="4" t="s">
        <v>168</v>
      </c>
    </row>
    <row r="3" spans="1:8" ht="87" x14ac:dyDescent="0.35">
      <c r="A3" s="4" t="s">
        <v>173</v>
      </c>
      <c r="B3" s="72" t="s">
        <v>174</v>
      </c>
      <c r="C3" s="23">
        <v>3.5264444316965395</v>
      </c>
      <c r="D3" s="23">
        <v>3.5140960208338048</v>
      </c>
      <c r="E3" s="23">
        <v>3.4258509970528586</v>
      </c>
      <c r="F3" s="23">
        <v>3.480943060815501</v>
      </c>
      <c r="G3" s="23">
        <v>3.4383045318890799</v>
      </c>
      <c r="H3" s="20">
        <v>-2.4993985163990318E-2</v>
      </c>
    </row>
    <row r="4" spans="1:8" ht="58" x14ac:dyDescent="0.35">
      <c r="B4" s="72" t="s">
        <v>175</v>
      </c>
      <c r="C4" s="23">
        <v>3.7498281360025212</v>
      </c>
      <c r="D4" s="23">
        <v>3.671641094993622</v>
      </c>
      <c r="E4" s="23">
        <v>3.2566949879580527</v>
      </c>
      <c r="F4" s="23">
        <v>3.3083796288289964</v>
      </c>
      <c r="G4" s="23">
        <v>3.4388816353665987</v>
      </c>
      <c r="H4" s="20">
        <v>-8.2922867224364261E-2</v>
      </c>
    </row>
    <row r="5" spans="1:8" ht="58" x14ac:dyDescent="0.35">
      <c r="B5" s="72" t="s">
        <v>176</v>
      </c>
      <c r="C5" s="23">
        <v>2.3440946060938015</v>
      </c>
      <c r="D5" s="23">
        <v>2.3665009470187321</v>
      </c>
      <c r="E5" s="23">
        <v>1.9555468010971662</v>
      </c>
      <c r="F5" s="23">
        <v>1.9768976485563716</v>
      </c>
      <c r="G5" s="23">
        <v>2.0681316652927881</v>
      </c>
      <c r="H5" s="20">
        <v>-0.11772687846455043</v>
      </c>
    </row>
    <row r="6" spans="1:8" ht="58" x14ac:dyDescent="0.35">
      <c r="B6" s="72" t="s">
        <v>177</v>
      </c>
      <c r="C6" s="23">
        <v>2.5978070569286449</v>
      </c>
      <c r="D6" s="23">
        <v>2.5974031089185154</v>
      </c>
      <c r="E6" s="23">
        <v>2.1862436526289373</v>
      </c>
      <c r="F6" s="23">
        <v>2.3018276711450678</v>
      </c>
      <c r="G6" s="23">
        <v>2.2851782684886408</v>
      </c>
      <c r="H6" s="20">
        <v>-0.12034334405482028</v>
      </c>
    </row>
    <row r="7" spans="1:8" x14ac:dyDescent="0.35">
      <c r="A7" s="4" t="s">
        <v>178</v>
      </c>
      <c r="B7" s="72" t="s">
        <v>51</v>
      </c>
      <c r="C7" s="23">
        <v>2.9180505590150938</v>
      </c>
      <c r="D7" s="23">
        <v>2.9206013235921175</v>
      </c>
      <c r="E7" s="23">
        <v>2.2802870018557191</v>
      </c>
      <c r="F7" s="23">
        <v>2.4561481963991998</v>
      </c>
      <c r="G7" s="23">
        <v>2.5211390249229217</v>
      </c>
      <c r="H7" s="20">
        <v>-0.13601941641002213</v>
      </c>
    </row>
    <row r="8" spans="1:8" x14ac:dyDescent="0.35">
      <c r="A8" s="4" t="s">
        <v>52</v>
      </c>
      <c r="B8" s="4" t="s">
        <v>51</v>
      </c>
      <c r="C8" s="23">
        <v>1.285889042848454</v>
      </c>
      <c r="D8" s="23">
        <v>1.3157276169352805</v>
      </c>
      <c r="E8" s="23">
        <v>1.0051591300473217</v>
      </c>
      <c r="F8" s="23">
        <v>1.1207013689986063</v>
      </c>
      <c r="G8" s="23">
        <v>1.1967317787969305</v>
      </c>
      <c r="H8" s="20">
        <v>-6.9335114524364694E-2</v>
      </c>
    </row>
    <row r="9" spans="1:8" x14ac:dyDescent="0.35">
      <c r="C9" s="23"/>
      <c r="D9" s="23"/>
      <c r="E9" s="23"/>
      <c r="F9" s="23"/>
      <c r="G9" s="23"/>
    </row>
    <row r="10" spans="1:8" x14ac:dyDescent="0.35">
      <c r="H10" s="20"/>
    </row>
    <row r="11" spans="1:8" x14ac:dyDescent="0.35">
      <c r="H11" s="20"/>
    </row>
    <row r="12" spans="1:8" x14ac:dyDescent="0.35">
      <c r="H12" s="20"/>
    </row>
    <row r="13" spans="1:8" x14ac:dyDescent="0.35">
      <c r="H13" s="20"/>
    </row>
    <row r="14" spans="1:8" x14ac:dyDescent="0.35">
      <c r="H14" s="20"/>
    </row>
    <row r="15" spans="1:8" x14ac:dyDescent="0.35">
      <c r="H15" s="20"/>
    </row>
    <row r="16" spans="1:8" x14ac:dyDescent="0.35">
      <c r="H16" s="20"/>
    </row>
    <row r="17" spans="8:8" x14ac:dyDescent="0.35">
      <c r="H17" s="20"/>
    </row>
    <row r="18" spans="8:8" x14ac:dyDescent="0.35">
      <c r="H18" s="20"/>
    </row>
    <row r="19" spans="8:8" x14ac:dyDescent="0.35">
      <c r="H19" s="2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59" zoomScaleNormal="59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4.5" x14ac:dyDescent="0.35"/>
  <sheetData>
    <row r="1" spans="1:8" ht="26" x14ac:dyDescent="0.6">
      <c r="A1" s="1" t="s">
        <v>239</v>
      </c>
    </row>
    <row r="3" spans="1:8" x14ac:dyDescent="0.35">
      <c r="B3" t="s">
        <v>57</v>
      </c>
      <c r="C3" t="s">
        <v>17</v>
      </c>
      <c r="D3" t="s">
        <v>16</v>
      </c>
      <c r="E3" t="s">
        <v>15</v>
      </c>
      <c r="F3" t="s">
        <v>21</v>
      </c>
    </row>
    <row r="4" spans="1:8" x14ac:dyDescent="0.35">
      <c r="A4" s="75" t="s">
        <v>188</v>
      </c>
      <c r="B4" s="78">
        <f>366052/1000</f>
        <v>366.05200000000002</v>
      </c>
      <c r="C4" s="80">
        <f>370754/1000</f>
        <v>370.75400000000002</v>
      </c>
      <c r="D4" s="4">
        <v>344.476</v>
      </c>
      <c r="E4" s="4">
        <v>357.40499999999997</v>
      </c>
      <c r="F4" s="73">
        <v>358.81742276894983</v>
      </c>
      <c r="G4" s="67">
        <f t="shared" ref="G4:G14" si="0">F4-D4</f>
        <v>14.341422768949826</v>
      </c>
      <c r="H4" s="20">
        <f t="shared" ref="H4:H14" si="1">G4/G$14</f>
        <v>0.20117082055449703</v>
      </c>
    </row>
    <row r="5" spans="1:8" x14ac:dyDescent="0.35">
      <c r="A5" s="75" t="s">
        <v>187</v>
      </c>
      <c r="B5" s="78">
        <f>241377/1000</f>
        <v>241.37700000000001</v>
      </c>
      <c r="C5" s="76">
        <f>245764/1000</f>
        <v>245.76400000000001</v>
      </c>
      <c r="D5" s="4">
        <v>179.44300000000001</v>
      </c>
      <c r="E5" s="4">
        <v>196.91900000000001</v>
      </c>
      <c r="F5" s="73">
        <v>219.64426167574715</v>
      </c>
      <c r="G5" s="67">
        <f t="shared" si="0"/>
        <v>40.201261675747133</v>
      </c>
      <c r="H5" s="20">
        <f t="shared" si="1"/>
        <v>0.56391342260307076</v>
      </c>
    </row>
    <row r="6" spans="1:8" x14ac:dyDescent="0.35">
      <c r="A6" s="75" t="s">
        <v>186</v>
      </c>
      <c r="B6" s="78">
        <f>117991/1000</f>
        <v>117.991</v>
      </c>
      <c r="C6" s="74">
        <f>101660/1000</f>
        <v>101.66</v>
      </c>
      <c r="D6" s="4">
        <v>89.882000000000005</v>
      </c>
      <c r="E6" s="4">
        <v>87.384</v>
      </c>
      <c r="F6" s="73">
        <v>80.558616647539992</v>
      </c>
      <c r="G6" s="67">
        <f t="shared" si="0"/>
        <v>-9.3233833524600129</v>
      </c>
      <c r="H6" s="20">
        <f t="shared" si="1"/>
        <v>-0.13078149285294804</v>
      </c>
    </row>
    <row r="7" spans="1:8" x14ac:dyDescent="0.35">
      <c r="A7" s="75" t="s">
        <v>185</v>
      </c>
      <c r="B7" s="78">
        <f>53244/1000</f>
        <v>53.244</v>
      </c>
      <c r="C7" s="74">
        <f>64442/1000</f>
        <v>64.441999999999993</v>
      </c>
      <c r="D7" s="4">
        <v>42.625</v>
      </c>
      <c r="E7" s="4">
        <v>58.835000000000001</v>
      </c>
      <c r="F7" s="73">
        <v>48.17813297882001</v>
      </c>
      <c r="G7" s="67">
        <f t="shared" si="0"/>
        <v>5.5531329788200097</v>
      </c>
      <c r="H7" s="20">
        <f t="shared" si="1"/>
        <v>7.7895222530927677E-2</v>
      </c>
    </row>
    <row r="8" spans="1:8" x14ac:dyDescent="0.35">
      <c r="A8" s="79" t="s">
        <v>184</v>
      </c>
      <c r="B8" s="78">
        <f>224861/1000</f>
        <v>224.86099999999999</v>
      </c>
      <c r="C8" s="74">
        <f>243647/1000</f>
        <v>243.64699999999999</v>
      </c>
      <c r="D8" s="4">
        <v>260.036</v>
      </c>
      <c r="E8" s="4">
        <v>199.60900000000001</v>
      </c>
      <c r="F8" s="73">
        <v>235.366463012135</v>
      </c>
      <c r="G8" s="67">
        <f t="shared" si="0"/>
        <v>-24.669536987865001</v>
      </c>
      <c r="H8" s="20">
        <f t="shared" si="1"/>
        <v>-0.34604593132092193</v>
      </c>
    </row>
    <row r="9" spans="1:8" x14ac:dyDescent="0.35">
      <c r="A9" s="75" t="s">
        <v>183</v>
      </c>
      <c r="B9" s="78">
        <f>127631/1000</f>
        <v>127.631</v>
      </c>
      <c r="C9" s="74">
        <f>122787/1000</f>
        <v>122.78700000000001</v>
      </c>
      <c r="D9" s="4">
        <v>81.716999999999999</v>
      </c>
      <c r="E9" s="4">
        <v>102.011</v>
      </c>
      <c r="F9" s="73">
        <v>75.353441659809974</v>
      </c>
      <c r="G9" s="67">
        <f t="shared" si="0"/>
        <v>-6.3635583401900249</v>
      </c>
      <c r="H9" s="20">
        <f t="shared" si="1"/>
        <v>-8.9263267220186848E-2</v>
      </c>
    </row>
    <row r="10" spans="1:8" x14ac:dyDescent="0.35">
      <c r="A10" s="75" t="s">
        <v>182</v>
      </c>
      <c r="B10" s="77">
        <f>244578/1000</f>
        <v>244.578</v>
      </c>
      <c r="C10" s="76">
        <f>238967/1000</f>
        <v>238.96700000000001</v>
      </c>
      <c r="D10" s="4">
        <v>176.745</v>
      </c>
      <c r="E10" s="4">
        <v>184.14599999999999</v>
      </c>
      <c r="F10" s="73">
        <v>205.55878200124994</v>
      </c>
      <c r="G10" s="67">
        <f t="shared" si="0"/>
        <v>28.813782001249933</v>
      </c>
      <c r="H10" s="20">
        <f t="shared" si="1"/>
        <v>0.40417832050943048</v>
      </c>
    </row>
    <row r="11" spans="1:8" x14ac:dyDescent="0.35">
      <c r="A11" s="75" t="s">
        <v>181</v>
      </c>
      <c r="B11" s="74">
        <f>139832/1000</f>
        <v>139.83199999999999</v>
      </c>
      <c r="C11" s="74">
        <f>117821/1000</f>
        <v>117.821</v>
      </c>
      <c r="D11" s="4">
        <v>128.23500000000001</v>
      </c>
      <c r="E11" s="4">
        <v>111.292</v>
      </c>
      <c r="F11" s="73">
        <v>122.56274671994002</v>
      </c>
      <c r="G11" s="67">
        <f t="shared" si="0"/>
        <v>-5.6722532800599907</v>
      </c>
      <c r="H11" s="20">
        <f t="shared" si="1"/>
        <v>-7.9566153590642938E-2</v>
      </c>
    </row>
    <row r="12" spans="1:8" x14ac:dyDescent="0.35">
      <c r="A12" s="75" t="s">
        <v>180</v>
      </c>
      <c r="B12" s="74">
        <f>103160/1000</f>
        <v>103.16</v>
      </c>
      <c r="C12" s="74">
        <f>101189/1000</f>
        <v>101.18899999999999</v>
      </c>
      <c r="D12" s="4">
        <v>87.444000000000003</v>
      </c>
      <c r="E12" s="4">
        <v>87.113</v>
      </c>
      <c r="F12" s="73">
        <v>82.208356691140011</v>
      </c>
      <c r="G12" s="67">
        <f t="shared" si="0"/>
        <v>-5.2356433088599914</v>
      </c>
      <c r="H12" s="20">
        <f t="shared" si="1"/>
        <v>-7.3441713388047128E-2</v>
      </c>
    </row>
    <row r="13" spans="1:8" x14ac:dyDescent="0.35">
      <c r="A13" s="75" t="s">
        <v>179</v>
      </c>
      <c r="B13" s="74">
        <f>76701/1000</f>
        <v>76.700999999999993</v>
      </c>
      <c r="C13" s="74">
        <f>77574/1000</f>
        <v>77.573999999999998</v>
      </c>
      <c r="D13" s="4">
        <v>52.08</v>
      </c>
      <c r="E13" s="4">
        <v>55.304000000000002</v>
      </c>
      <c r="F13" s="73">
        <v>85.724552013100009</v>
      </c>
      <c r="G13" s="67">
        <f t="shared" si="0"/>
        <v>33.644552013100011</v>
      </c>
      <c r="H13" s="20">
        <f t="shared" si="1"/>
        <v>0.471940772174824</v>
      </c>
    </row>
    <row r="14" spans="1:8" x14ac:dyDescent="0.35">
      <c r="B14" s="67">
        <f>SUM(B4:B13)</f>
        <v>1695.4270000000004</v>
      </c>
      <c r="C14" s="67">
        <f>SUM(C4:C13)</f>
        <v>1684.6050000000002</v>
      </c>
      <c r="D14" s="67">
        <f>SUM(D4:D13)</f>
        <v>1442.683</v>
      </c>
      <c r="E14" s="67">
        <f>SUM(E4:E13)</f>
        <v>1440.018</v>
      </c>
      <c r="F14" s="67">
        <f>SUM(F4:F13)</f>
        <v>1513.9727761684317</v>
      </c>
      <c r="G14" s="67">
        <f t="shared" si="0"/>
        <v>71.289776168431672</v>
      </c>
      <c r="H14" s="20">
        <f t="shared" si="1"/>
        <v>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zoomScale="85" zoomScaleNormal="85" workbookViewId="0">
      <pane xSplit="1" ySplit="3" topLeftCell="D20" activePane="bottomRight" state="frozen"/>
      <selection activeCell="C33" sqref="C33"/>
      <selection pane="topRight" activeCell="C33" sqref="C33"/>
      <selection pane="bottomLeft" activeCell="C33" sqref="C33"/>
      <selection pane="bottomRight" activeCell="D32" sqref="D32"/>
    </sheetView>
  </sheetViews>
  <sheetFormatPr defaultColWidth="9.08984375" defaultRowHeight="14.5" x14ac:dyDescent="0.35"/>
  <cols>
    <col min="2" max="2" width="11.1796875" style="47" bestFit="1" customWidth="1"/>
    <col min="3" max="3" width="10.81640625" style="47" customWidth="1"/>
    <col min="4" max="4" width="10.81640625" style="9" customWidth="1"/>
  </cols>
  <sheetData>
    <row r="1" spans="1:6" ht="26" x14ac:dyDescent="0.6">
      <c r="A1" s="1" t="s">
        <v>189</v>
      </c>
    </row>
    <row r="2" spans="1:6" x14ac:dyDescent="0.35">
      <c r="E2" s="71"/>
      <c r="F2" s="47"/>
    </row>
    <row r="3" spans="1:6" x14ac:dyDescent="0.35">
      <c r="B3" s="47" t="s">
        <v>190</v>
      </c>
      <c r="E3" s="71"/>
      <c r="F3" s="62"/>
    </row>
    <row r="4" spans="1:6" x14ac:dyDescent="0.35">
      <c r="A4">
        <v>2010</v>
      </c>
      <c r="B4" s="47">
        <v>491000</v>
      </c>
      <c r="E4" s="71"/>
      <c r="F4" s="47"/>
    </row>
    <row r="5" spans="1:6" x14ac:dyDescent="0.35">
      <c r="B5" s="47">
        <v>497000</v>
      </c>
      <c r="C5" s="47">
        <f t="shared" ref="C5:C38" si="0">B5-B4</f>
        <v>6000</v>
      </c>
      <c r="D5" s="9">
        <f t="shared" ref="D5:D38" si="1">C5/B4</f>
        <v>1.2219959266802444E-2</v>
      </c>
      <c r="E5" s="71"/>
      <c r="F5" s="47"/>
    </row>
    <row r="6" spans="1:6" x14ac:dyDescent="0.35">
      <c r="B6" s="47">
        <v>505000</v>
      </c>
      <c r="C6" s="47">
        <f t="shared" si="0"/>
        <v>8000</v>
      </c>
      <c r="D6" s="9">
        <f t="shared" si="1"/>
        <v>1.6096579476861168E-2</v>
      </c>
      <c r="E6" s="71"/>
      <c r="F6" s="47"/>
    </row>
    <row r="7" spans="1:6" x14ac:dyDescent="0.35">
      <c r="B7" s="47">
        <v>504000</v>
      </c>
      <c r="C7" s="47">
        <f t="shared" si="0"/>
        <v>-1000</v>
      </c>
      <c r="D7" s="9">
        <f t="shared" si="1"/>
        <v>-1.9801980198019802E-3</v>
      </c>
      <c r="E7" s="71"/>
      <c r="F7" s="47"/>
    </row>
    <row r="8" spans="1:6" x14ac:dyDescent="0.35">
      <c r="A8">
        <v>2011</v>
      </c>
      <c r="B8" s="47">
        <v>511000</v>
      </c>
      <c r="C8" s="47">
        <f t="shared" si="0"/>
        <v>7000</v>
      </c>
      <c r="D8" s="9">
        <f t="shared" si="1"/>
        <v>1.3888888888888888E-2</v>
      </c>
      <c r="E8" s="71"/>
      <c r="F8" s="47"/>
    </row>
    <row r="9" spans="1:6" x14ac:dyDescent="0.35">
      <c r="B9" s="47">
        <v>517000</v>
      </c>
      <c r="C9" s="47">
        <f t="shared" si="0"/>
        <v>6000</v>
      </c>
      <c r="D9" s="9">
        <f t="shared" si="1"/>
        <v>1.1741682974559686E-2</v>
      </c>
      <c r="E9" s="71"/>
      <c r="F9" s="47"/>
    </row>
    <row r="10" spans="1:6" x14ac:dyDescent="0.35">
      <c r="B10" s="47">
        <v>519000</v>
      </c>
      <c r="C10" s="47">
        <f t="shared" si="0"/>
        <v>2000</v>
      </c>
      <c r="D10" s="9">
        <f t="shared" si="1"/>
        <v>3.8684719535783366E-3</v>
      </c>
      <c r="E10" s="71"/>
      <c r="F10" s="47"/>
    </row>
    <row r="11" spans="1:6" x14ac:dyDescent="0.35">
      <c r="B11" s="47">
        <v>518000</v>
      </c>
      <c r="C11" s="47">
        <f t="shared" si="0"/>
        <v>-1000</v>
      </c>
      <c r="D11" s="9">
        <f t="shared" si="1"/>
        <v>-1.9267822736030828E-3</v>
      </c>
      <c r="E11" s="71"/>
      <c r="F11" s="47"/>
    </row>
    <row r="12" spans="1:6" x14ac:dyDescent="0.35">
      <c r="A12">
        <v>2012</v>
      </c>
      <c r="B12" s="47">
        <v>523000</v>
      </c>
      <c r="C12" s="47">
        <f t="shared" si="0"/>
        <v>5000</v>
      </c>
      <c r="D12" s="9">
        <f t="shared" si="1"/>
        <v>9.6525096525096523E-3</v>
      </c>
      <c r="E12" s="71"/>
      <c r="F12" s="47"/>
    </row>
    <row r="13" spans="1:6" x14ac:dyDescent="0.35">
      <c r="B13" s="47">
        <v>534000</v>
      </c>
      <c r="C13" s="47">
        <f t="shared" si="0"/>
        <v>11000</v>
      </c>
      <c r="D13" s="9">
        <f t="shared" si="1"/>
        <v>2.1032504780114723E-2</v>
      </c>
      <c r="E13" s="71"/>
      <c r="F13" s="47"/>
    </row>
    <row r="14" spans="1:6" x14ac:dyDescent="0.35">
      <c r="B14" s="47">
        <v>518000</v>
      </c>
      <c r="C14" s="47">
        <f t="shared" si="0"/>
        <v>-16000</v>
      </c>
      <c r="D14" s="9">
        <f t="shared" si="1"/>
        <v>-2.9962546816479401E-2</v>
      </c>
      <c r="E14" s="71"/>
      <c r="F14" s="47"/>
    </row>
    <row r="15" spans="1:6" x14ac:dyDescent="0.35">
      <c r="B15" s="47">
        <v>515000</v>
      </c>
      <c r="C15" s="47">
        <f t="shared" si="0"/>
        <v>-3000</v>
      </c>
      <c r="D15" s="9">
        <f t="shared" si="1"/>
        <v>-5.7915057915057912E-3</v>
      </c>
      <c r="E15" s="71"/>
      <c r="F15" s="47"/>
    </row>
    <row r="16" spans="1:6" x14ac:dyDescent="0.35">
      <c r="A16">
        <v>2013</v>
      </c>
      <c r="B16" s="47">
        <v>515000</v>
      </c>
      <c r="C16" s="47">
        <f t="shared" si="0"/>
        <v>0</v>
      </c>
      <c r="D16" s="9">
        <f t="shared" si="1"/>
        <v>0</v>
      </c>
      <c r="E16" s="71"/>
      <c r="F16" s="47"/>
    </row>
    <row r="17" spans="1:15" x14ac:dyDescent="0.35">
      <c r="B17" s="47">
        <v>511000</v>
      </c>
      <c r="C17" s="47">
        <f t="shared" si="0"/>
        <v>-4000</v>
      </c>
      <c r="D17" s="9">
        <f t="shared" si="1"/>
        <v>-7.7669902912621356E-3</v>
      </c>
      <c r="E17" s="71"/>
      <c r="F17" s="47"/>
    </row>
    <row r="18" spans="1:15" x14ac:dyDescent="0.35">
      <c r="B18" s="47">
        <v>507000</v>
      </c>
      <c r="C18" s="47">
        <f t="shared" si="0"/>
        <v>-4000</v>
      </c>
      <c r="D18" s="9">
        <f t="shared" si="1"/>
        <v>-7.8277886497064575E-3</v>
      </c>
      <c r="E18" s="81"/>
      <c r="F18" s="47"/>
    </row>
    <row r="19" spans="1:15" x14ac:dyDescent="0.35">
      <c r="B19" s="47">
        <v>499000</v>
      </c>
      <c r="C19" s="47">
        <f t="shared" si="0"/>
        <v>-8000</v>
      </c>
      <c r="D19" s="9">
        <f t="shared" si="1"/>
        <v>-1.5779092702169626E-2</v>
      </c>
      <c r="E19" s="81"/>
      <c r="F19" s="47"/>
    </row>
    <row r="20" spans="1:15" x14ac:dyDescent="0.35">
      <c r="A20">
        <v>2014</v>
      </c>
      <c r="B20" s="47">
        <v>491000</v>
      </c>
      <c r="C20" s="47">
        <f t="shared" si="0"/>
        <v>-8000</v>
      </c>
      <c r="D20" s="9">
        <f t="shared" si="1"/>
        <v>-1.6032064128256512E-2</v>
      </c>
      <c r="E20" s="71"/>
      <c r="F20" s="47"/>
    </row>
    <row r="21" spans="1:15" x14ac:dyDescent="0.35">
      <c r="B21" s="47">
        <v>491000</v>
      </c>
      <c r="C21" s="47">
        <f t="shared" si="0"/>
        <v>0</v>
      </c>
      <c r="D21" s="9">
        <f t="shared" si="1"/>
        <v>0</v>
      </c>
      <c r="E21" s="81"/>
      <c r="F21" s="47"/>
    </row>
    <row r="22" spans="1:15" x14ac:dyDescent="0.35">
      <c r="B22" s="47">
        <v>498000</v>
      </c>
      <c r="C22" s="47">
        <f t="shared" si="0"/>
        <v>7000</v>
      </c>
      <c r="D22" s="9">
        <f t="shared" si="1"/>
        <v>1.4256619144602852E-2</v>
      </c>
      <c r="E22" s="81"/>
      <c r="F22" s="47"/>
    </row>
    <row r="23" spans="1:15" x14ac:dyDescent="0.35">
      <c r="B23" s="47">
        <v>491000</v>
      </c>
      <c r="C23" s="47">
        <f t="shared" si="0"/>
        <v>-7000</v>
      </c>
      <c r="D23" s="9">
        <f t="shared" si="1"/>
        <v>-1.4056224899598393E-2</v>
      </c>
      <c r="E23" s="81"/>
      <c r="F23" s="47"/>
    </row>
    <row r="24" spans="1:15" x14ac:dyDescent="0.35">
      <c r="A24">
        <v>2015</v>
      </c>
      <c r="B24" s="47">
        <v>490000</v>
      </c>
      <c r="C24" s="47">
        <f t="shared" si="0"/>
        <v>-1000</v>
      </c>
      <c r="D24" s="9">
        <f t="shared" si="1"/>
        <v>-2.0366598778004071E-3</v>
      </c>
      <c r="E24" s="71"/>
      <c r="F24" s="47"/>
      <c r="G24" s="47"/>
    </row>
    <row r="25" spans="1:15" x14ac:dyDescent="0.35">
      <c r="B25" s="47">
        <v>489000</v>
      </c>
      <c r="C25" s="47">
        <f t="shared" si="0"/>
        <v>-1000</v>
      </c>
      <c r="D25" s="9">
        <f t="shared" si="1"/>
        <v>-2.0408163265306124E-3</v>
      </c>
      <c r="E25" s="81"/>
      <c r="F25" s="47"/>
      <c r="G25" s="47"/>
    </row>
    <row r="26" spans="1:15" x14ac:dyDescent="0.35">
      <c r="B26" s="47">
        <v>476000</v>
      </c>
      <c r="C26" s="47">
        <f t="shared" si="0"/>
        <v>-13000</v>
      </c>
      <c r="D26" s="9">
        <f t="shared" si="1"/>
        <v>-2.6584867075664622E-2</v>
      </c>
      <c r="E26" s="81"/>
      <c r="F26" s="47"/>
      <c r="G26" s="47"/>
    </row>
    <row r="27" spans="1:15" x14ac:dyDescent="0.35">
      <c r="B27" s="47">
        <v>459000</v>
      </c>
      <c r="C27" s="47">
        <f t="shared" si="0"/>
        <v>-17000</v>
      </c>
      <c r="D27" s="9">
        <f t="shared" si="1"/>
        <v>-3.5714285714285712E-2</v>
      </c>
      <c r="E27" s="81"/>
      <c r="F27" s="47"/>
      <c r="G27" s="47"/>
      <c r="O27" s="66"/>
    </row>
    <row r="28" spans="1:15" x14ac:dyDescent="0.35">
      <c r="A28">
        <v>2016</v>
      </c>
      <c r="B28" s="82">
        <v>458000</v>
      </c>
      <c r="C28" s="47">
        <f t="shared" si="0"/>
        <v>-1000</v>
      </c>
      <c r="D28" s="9">
        <f t="shared" si="1"/>
        <v>-2.1786492374727671E-3</v>
      </c>
      <c r="E28" s="71"/>
      <c r="F28" s="47"/>
      <c r="G28" s="47"/>
    </row>
    <row r="29" spans="1:15" x14ac:dyDescent="0.35">
      <c r="B29" s="82">
        <v>458000</v>
      </c>
      <c r="C29" s="47">
        <f t="shared" si="0"/>
        <v>0</v>
      </c>
      <c r="D29" s="9">
        <f t="shared" si="1"/>
        <v>0</v>
      </c>
      <c r="G29" s="47"/>
    </row>
    <row r="30" spans="1:15" x14ac:dyDescent="0.35">
      <c r="B30" s="82">
        <v>458000</v>
      </c>
      <c r="C30" s="47">
        <f t="shared" si="0"/>
        <v>0</v>
      </c>
      <c r="D30" s="9">
        <f t="shared" si="1"/>
        <v>0</v>
      </c>
      <c r="G30" s="47"/>
    </row>
    <row r="31" spans="1:15" x14ac:dyDescent="0.35">
      <c r="B31" s="82">
        <v>456000</v>
      </c>
      <c r="C31" s="47">
        <f t="shared" si="0"/>
        <v>-2000</v>
      </c>
      <c r="D31" s="9">
        <f t="shared" si="1"/>
        <v>-4.3668122270742356E-3</v>
      </c>
      <c r="G31" s="47"/>
    </row>
    <row r="32" spans="1:15" x14ac:dyDescent="0.35">
      <c r="A32">
        <v>2017</v>
      </c>
      <c r="B32" s="47">
        <v>464000</v>
      </c>
      <c r="C32" s="47">
        <f t="shared" si="0"/>
        <v>8000</v>
      </c>
      <c r="D32" s="9">
        <f t="shared" si="1"/>
        <v>1.7543859649122806E-2</v>
      </c>
    </row>
    <row r="33" spans="1:15" x14ac:dyDescent="0.35">
      <c r="B33" s="47">
        <v>471000</v>
      </c>
      <c r="C33" s="47">
        <f t="shared" si="0"/>
        <v>7000</v>
      </c>
      <c r="D33" s="9">
        <f t="shared" si="1"/>
        <v>1.5086206896551725E-2</v>
      </c>
      <c r="E33" s="66"/>
      <c r="F33" s="66"/>
      <c r="G33" s="66"/>
      <c r="H33" s="66"/>
      <c r="I33" s="66"/>
      <c r="J33" s="66"/>
      <c r="K33" s="66"/>
      <c r="L33" s="66"/>
    </row>
    <row r="34" spans="1:15" x14ac:dyDescent="0.35">
      <c r="B34" s="47">
        <v>460000</v>
      </c>
      <c r="C34" s="47">
        <f t="shared" si="0"/>
        <v>-11000</v>
      </c>
      <c r="D34" s="9">
        <f t="shared" si="1"/>
        <v>-2.3354564755838639E-2</v>
      </c>
    </row>
    <row r="35" spans="1:15" x14ac:dyDescent="0.35">
      <c r="B35" s="47">
        <v>457000</v>
      </c>
      <c r="C35" s="47">
        <f t="shared" si="0"/>
        <v>-3000</v>
      </c>
      <c r="D35" s="9">
        <f t="shared" si="1"/>
        <v>-6.5217391304347823E-3</v>
      </c>
    </row>
    <row r="36" spans="1:15" x14ac:dyDescent="0.35">
      <c r="A36">
        <v>2018</v>
      </c>
      <c r="B36" s="47">
        <v>454000</v>
      </c>
      <c r="C36" s="47">
        <f t="shared" si="0"/>
        <v>-3000</v>
      </c>
      <c r="D36" s="9">
        <f t="shared" si="1"/>
        <v>-6.5645514223194746E-3</v>
      </c>
    </row>
    <row r="37" spans="1:15" x14ac:dyDescent="0.35">
      <c r="B37" s="47">
        <v>459000</v>
      </c>
      <c r="C37" s="47">
        <f t="shared" si="0"/>
        <v>5000</v>
      </c>
      <c r="D37" s="9">
        <f t="shared" si="1"/>
        <v>1.1013215859030838E-2</v>
      </c>
    </row>
    <row r="38" spans="1:15" x14ac:dyDescent="0.35">
      <c r="B38" s="47">
        <v>456000</v>
      </c>
      <c r="C38" s="47">
        <f t="shared" si="0"/>
        <v>-3000</v>
      </c>
      <c r="D38" s="9">
        <f t="shared" si="1"/>
        <v>-6.5359477124183009E-3</v>
      </c>
    </row>
    <row r="39" spans="1:15" x14ac:dyDescent="0.35">
      <c r="B39" s="47">
        <v>453000</v>
      </c>
      <c r="C39" s="47">
        <f>B39-B38</f>
        <v>-3000</v>
      </c>
      <c r="D39" s="9">
        <f>C39/B38</f>
        <v>-6.5789473684210523E-3</v>
      </c>
    </row>
    <row r="40" spans="1:15" x14ac:dyDescent="0.35">
      <c r="A40">
        <v>2019</v>
      </c>
      <c r="B40" s="47">
        <v>455000</v>
      </c>
      <c r="C40" s="47">
        <f>B40-B39</f>
        <v>2000</v>
      </c>
      <c r="D40" s="20">
        <f>C40/B39</f>
        <v>4.4150110375275938E-3</v>
      </c>
    </row>
    <row r="41" spans="1:15" s="15" customFormat="1" x14ac:dyDescent="0.35">
      <c r="A41"/>
      <c r="B41" s="47">
        <v>462000</v>
      </c>
      <c r="C41" s="47">
        <f>B41-B40</f>
        <v>7000</v>
      </c>
      <c r="D41" s="20">
        <f>C41/B40</f>
        <v>1.5384615384615385E-2</v>
      </c>
      <c r="O41" s="68"/>
    </row>
    <row r="42" spans="1:15" x14ac:dyDescent="0.35">
      <c r="B42" s="47">
        <v>463000</v>
      </c>
      <c r="C42" s="47">
        <f>B42-B41</f>
        <v>1000</v>
      </c>
      <c r="D42" s="20">
        <f>C42/B41</f>
        <v>2.1645021645021645E-3</v>
      </c>
      <c r="O42" s="66"/>
    </row>
    <row r="43" spans="1:15" x14ac:dyDescent="0.35">
      <c r="B43" s="47">
        <v>452000</v>
      </c>
      <c r="C43" s="47">
        <f t="shared" ref="C43:C46" si="2">B43-B42</f>
        <v>-11000</v>
      </c>
      <c r="D43" s="20">
        <f t="shared" ref="D43:D46" si="3">C43/B42</f>
        <v>-2.3758099352051837E-2</v>
      </c>
    </row>
    <row r="44" spans="1:15" x14ac:dyDescent="0.35">
      <c r="A44">
        <v>2020</v>
      </c>
      <c r="B44" s="47">
        <v>456000</v>
      </c>
      <c r="C44" s="47">
        <f t="shared" si="2"/>
        <v>4000</v>
      </c>
      <c r="D44" s="20">
        <f t="shared" si="3"/>
        <v>8.8495575221238937E-3</v>
      </c>
    </row>
    <row r="45" spans="1:15" x14ac:dyDescent="0.35">
      <c r="B45" s="47">
        <v>452000</v>
      </c>
      <c r="C45" s="47">
        <f t="shared" si="2"/>
        <v>-4000</v>
      </c>
      <c r="D45" s="20">
        <f t="shared" si="3"/>
        <v>-8.771929824561403E-3</v>
      </c>
    </row>
    <row r="46" spans="1:15" x14ac:dyDescent="0.35">
      <c r="B46" s="47">
        <v>450000</v>
      </c>
      <c r="C46" s="47">
        <f t="shared" si="2"/>
        <v>-2000</v>
      </c>
      <c r="D46" s="20">
        <f t="shared" si="3"/>
        <v>-4.4247787610619468E-3</v>
      </c>
    </row>
    <row r="47" spans="1:15" x14ac:dyDescent="0.35">
      <c r="O47" s="66"/>
    </row>
    <row r="48" spans="1:15" x14ac:dyDescent="0.35">
      <c r="A48" s="15" t="s">
        <v>191</v>
      </c>
      <c r="O48" s="66"/>
    </row>
    <row r="54" spans="15:15" x14ac:dyDescent="0.35">
      <c r="O54" s="66"/>
    </row>
    <row r="55" spans="15:15" x14ac:dyDescent="0.35">
      <c r="O55" s="66"/>
    </row>
    <row r="60" spans="15:15" x14ac:dyDescent="0.35">
      <c r="O60" s="66"/>
    </row>
    <row r="63" spans="15:15" x14ac:dyDescent="0.35">
      <c r="O63" s="66"/>
    </row>
    <row r="66" spans="15:15" x14ac:dyDescent="0.35">
      <c r="O66" s="66"/>
    </row>
    <row r="69" spans="15:15" x14ac:dyDescent="0.35">
      <c r="O69" s="66"/>
    </row>
    <row r="72" spans="15:15" x14ac:dyDescent="0.35">
      <c r="O72" s="66"/>
    </row>
    <row r="73" spans="15:15" x14ac:dyDescent="0.35">
      <c r="O73" s="66"/>
    </row>
    <row r="75" spans="15:15" x14ac:dyDescent="0.35">
      <c r="O75" s="66"/>
    </row>
    <row r="79" spans="15:15" x14ac:dyDescent="0.35">
      <c r="O79" s="6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zoomScale="59" zoomScaleNormal="59" workbookViewId="0">
      <pane xSplit="2" ySplit="3" topLeftCell="P7" activePane="bottomRight" state="frozen"/>
      <selection pane="topRight" activeCell="B1" sqref="B1"/>
      <selection pane="bottomLeft" activeCell="A2" sqref="A2"/>
      <selection pane="bottomRight" activeCell="T34" sqref="T34"/>
    </sheetView>
  </sheetViews>
  <sheetFormatPr defaultColWidth="8.90625" defaultRowHeight="14.5" x14ac:dyDescent="0.35"/>
  <cols>
    <col min="6" max="6" width="9.90625" bestFit="1" customWidth="1"/>
  </cols>
  <sheetData>
    <row r="1" spans="1:22" ht="26" x14ac:dyDescent="0.6">
      <c r="A1" s="1" t="s">
        <v>200</v>
      </c>
      <c r="B1" s="85"/>
      <c r="C1" s="86"/>
      <c r="D1" s="86"/>
      <c r="E1" s="86"/>
      <c r="F1" s="86"/>
      <c r="G1" s="86"/>
      <c r="H1" s="86"/>
      <c r="I1" s="95"/>
      <c r="J1" s="85"/>
      <c r="K1" s="86"/>
      <c r="L1" s="86"/>
      <c r="M1" s="86"/>
      <c r="N1" s="86"/>
      <c r="O1" s="95"/>
      <c r="P1" s="85"/>
      <c r="Q1" s="86"/>
      <c r="R1" s="86"/>
      <c r="S1" s="86"/>
      <c r="T1" s="86"/>
      <c r="U1" s="86"/>
      <c r="V1" s="86"/>
    </row>
    <row r="2" spans="1:22" x14ac:dyDescent="0.35">
      <c r="A2" s="95"/>
      <c r="B2" s="85"/>
      <c r="C2" s="86" t="s">
        <v>199</v>
      </c>
      <c r="D2" s="86"/>
      <c r="E2" s="86"/>
      <c r="F2" s="86"/>
      <c r="G2" s="86"/>
      <c r="H2" s="86"/>
      <c r="I2" s="95"/>
      <c r="J2" s="85"/>
      <c r="K2" s="86" t="s">
        <v>198</v>
      </c>
      <c r="L2" s="86"/>
      <c r="M2" s="86"/>
      <c r="N2" s="86"/>
      <c r="O2" s="95"/>
      <c r="P2" s="85"/>
      <c r="Q2" s="86" t="s">
        <v>197</v>
      </c>
      <c r="R2" s="86"/>
      <c r="S2" s="86"/>
      <c r="T2" s="86"/>
      <c r="U2" s="86"/>
      <c r="V2" s="86"/>
    </row>
    <row r="3" spans="1:22" x14ac:dyDescent="0.35">
      <c r="A3" s="86"/>
      <c r="B3" s="85"/>
      <c r="C3" s="85" t="s">
        <v>195</v>
      </c>
      <c r="D3" s="85" t="s">
        <v>194</v>
      </c>
      <c r="E3" s="85" t="s">
        <v>46</v>
      </c>
      <c r="F3" s="85" t="s">
        <v>196</v>
      </c>
      <c r="G3" s="85"/>
      <c r="H3" s="86"/>
      <c r="I3" s="86"/>
      <c r="J3" s="85"/>
      <c r="K3" s="86" t="s">
        <v>195</v>
      </c>
      <c r="L3" s="86" t="s">
        <v>194</v>
      </c>
      <c r="M3" s="86" t="s">
        <v>193</v>
      </c>
      <c r="N3" s="86"/>
      <c r="O3" s="86"/>
      <c r="P3" s="85"/>
      <c r="Q3" s="86" t="s">
        <v>195</v>
      </c>
      <c r="R3" s="86" t="s">
        <v>194</v>
      </c>
      <c r="S3" s="86" t="s">
        <v>193</v>
      </c>
      <c r="T3" s="86"/>
      <c r="U3" s="86"/>
      <c r="V3" s="86"/>
    </row>
    <row r="4" spans="1:22" x14ac:dyDescent="0.35">
      <c r="A4" s="86">
        <v>2010</v>
      </c>
      <c r="B4" s="85" t="s">
        <v>169</v>
      </c>
      <c r="C4" s="85">
        <v>128.52685</v>
      </c>
      <c r="D4" s="85">
        <v>136.98899</v>
      </c>
      <c r="E4" s="20">
        <v>0.59662664379645503</v>
      </c>
      <c r="F4" s="94">
        <v>7.4</v>
      </c>
      <c r="G4" s="85"/>
      <c r="H4" s="86"/>
      <c r="I4" s="86">
        <v>2010</v>
      </c>
      <c r="J4" s="85" t="s">
        <v>169</v>
      </c>
      <c r="K4" s="87">
        <f t="shared" ref="K4:K39" si="0">C4/E4</f>
        <v>215.4225784858649</v>
      </c>
      <c r="L4" s="87">
        <f t="shared" ref="L4:L39" si="1">D4/E4</f>
        <v>229.60588740776237</v>
      </c>
      <c r="M4" s="84">
        <f t="shared" ref="M4:M47" si="2">K4-L4</f>
        <v>-14.183308921897464</v>
      </c>
      <c r="N4" s="86"/>
      <c r="O4" s="86">
        <v>2010</v>
      </c>
      <c r="P4" s="85" t="s">
        <v>169</v>
      </c>
      <c r="Q4" s="85">
        <f t="shared" ref="Q4:Q47" si="3">C4/F4</f>
        <v>17.368493243243243</v>
      </c>
      <c r="R4" s="85">
        <f t="shared" ref="R4:R47" si="4">D4/F4</f>
        <v>18.512025675675677</v>
      </c>
      <c r="S4" s="84">
        <f t="shared" ref="S4:S47" si="5">Q4-R4</f>
        <v>-1.1435324324324334</v>
      </c>
      <c r="T4" s="86"/>
      <c r="U4" s="86"/>
      <c r="V4" s="86"/>
    </row>
    <row r="5" spans="1:22" x14ac:dyDescent="0.35">
      <c r="A5" s="86"/>
      <c r="B5" s="85" t="s">
        <v>170</v>
      </c>
      <c r="C5" s="85">
        <v>146.90540000000001</v>
      </c>
      <c r="D5" s="85">
        <v>143.46820000000002</v>
      </c>
      <c r="E5" s="20">
        <v>0.60234419668381933</v>
      </c>
      <c r="F5" s="94">
        <v>7.6</v>
      </c>
      <c r="G5" s="85"/>
      <c r="H5" s="86"/>
      <c r="I5" s="86"/>
      <c r="J5" s="85" t="s">
        <v>170</v>
      </c>
      <c r="K5" s="87">
        <f t="shared" si="0"/>
        <v>243.88945856668252</v>
      </c>
      <c r="L5" s="87">
        <f t="shared" si="1"/>
        <v>238.18308666350265</v>
      </c>
      <c r="M5" s="84">
        <f t="shared" si="2"/>
        <v>5.7063719031798712</v>
      </c>
      <c r="N5" s="86"/>
      <c r="O5" s="86"/>
      <c r="P5" s="85" t="s">
        <v>170</v>
      </c>
      <c r="Q5" s="85">
        <f t="shared" si="3"/>
        <v>19.329657894736844</v>
      </c>
      <c r="R5" s="85">
        <f t="shared" si="4"/>
        <v>18.87739473684211</v>
      </c>
      <c r="S5" s="84">
        <f t="shared" si="5"/>
        <v>0.45226315789473404</v>
      </c>
      <c r="T5" s="86"/>
      <c r="U5" s="86"/>
      <c r="V5" s="86"/>
    </row>
    <row r="6" spans="1:22" x14ac:dyDescent="0.35">
      <c r="A6" s="86"/>
      <c r="B6" s="85" t="s">
        <v>171</v>
      </c>
      <c r="C6" s="85">
        <v>157.69399999999999</v>
      </c>
      <c r="D6" s="85">
        <v>156.72220000000002</v>
      </c>
      <c r="E6" s="20">
        <v>0.60720411663807883</v>
      </c>
      <c r="F6" s="94">
        <v>7.1</v>
      </c>
      <c r="G6" s="85"/>
      <c r="H6" s="86"/>
      <c r="I6" s="86"/>
      <c r="J6" s="85" t="s">
        <v>171</v>
      </c>
      <c r="K6" s="87">
        <f t="shared" si="0"/>
        <v>259.70509039548023</v>
      </c>
      <c r="L6" s="87">
        <f t="shared" si="1"/>
        <v>258.10464011299439</v>
      </c>
      <c r="M6" s="84">
        <f t="shared" si="2"/>
        <v>1.6004502824858378</v>
      </c>
      <c r="N6" s="86"/>
      <c r="O6" s="86"/>
      <c r="P6" s="85" t="s">
        <v>171</v>
      </c>
      <c r="Q6" s="85">
        <f t="shared" si="3"/>
        <v>22.210422535211269</v>
      </c>
      <c r="R6" s="85">
        <f t="shared" si="4"/>
        <v>22.073549295774651</v>
      </c>
      <c r="S6" s="84">
        <f t="shared" si="5"/>
        <v>0.13687323943661767</v>
      </c>
      <c r="T6" s="86"/>
      <c r="U6" s="86"/>
      <c r="V6" s="86"/>
    </row>
    <row r="7" spans="1:22" x14ac:dyDescent="0.35">
      <c r="A7" s="86"/>
      <c r="B7" s="85" t="s">
        <v>172</v>
      </c>
      <c r="C7" s="85">
        <v>163.9127</v>
      </c>
      <c r="D7" s="85">
        <v>148.39349999999999</v>
      </c>
      <c r="E7" s="20">
        <v>0.60977701543739282</v>
      </c>
      <c r="F7" s="94">
        <v>6.8</v>
      </c>
      <c r="G7" s="85"/>
      <c r="H7" s="86"/>
      <c r="I7" s="86"/>
      <c r="J7" s="85" t="s">
        <v>172</v>
      </c>
      <c r="K7" s="87">
        <f t="shared" si="0"/>
        <v>268.80760646976091</v>
      </c>
      <c r="L7" s="87">
        <f t="shared" si="1"/>
        <v>243.35699156118142</v>
      </c>
      <c r="M7" s="84">
        <f t="shared" si="2"/>
        <v>25.450614908579496</v>
      </c>
      <c r="N7" s="86"/>
      <c r="O7" s="86"/>
      <c r="P7" s="85" t="s">
        <v>172</v>
      </c>
      <c r="Q7" s="85">
        <f t="shared" si="3"/>
        <v>24.104808823529414</v>
      </c>
      <c r="R7" s="85">
        <f t="shared" si="4"/>
        <v>21.822573529411763</v>
      </c>
      <c r="S7" s="84">
        <f t="shared" si="5"/>
        <v>2.2822352941176511</v>
      </c>
      <c r="T7" s="86"/>
      <c r="U7" s="86"/>
      <c r="V7" s="86"/>
    </row>
    <row r="8" spans="1:22" x14ac:dyDescent="0.35">
      <c r="A8" s="86">
        <v>2011</v>
      </c>
      <c r="B8" s="85" t="s">
        <v>169</v>
      </c>
      <c r="C8" s="85">
        <v>157.23270000000002</v>
      </c>
      <c r="D8" s="85">
        <v>161.5386</v>
      </c>
      <c r="E8" s="20">
        <v>0.61892510005717549</v>
      </c>
      <c r="F8" s="94">
        <v>6.9</v>
      </c>
      <c r="G8" s="85"/>
      <c r="H8" s="86"/>
      <c r="I8" s="86">
        <v>2011</v>
      </c>
      <c r="J8" s="85" t="s">
        <v>169</v>
      </c>
      <c r="K8" s="87">
        <f t="shared" si="0"/>
        <v>254.04156332563517</v>
      </c>
      <c r="L8" s="87">
        <f t="shared" si="1"/>
        <v>260.99862484988455</v>
      </c>
      <c r="M8" s="84">
        <f t="shared" si="2"/>
        <v>-6.957061524249383</v>
      </c>
      <c r="N8" s="86"/>
      <c r="O8" s="86">
        <v>2011</v>
      </c>
      <c r="P8" s="85" t="s">
        <v>169</v>
      </c>
      <c r="Q8" s="85">
        <f t="shared" si="3"/>
        <v>22.787347826086958</v>
      </c>
      <c r="R8" s="85">
        <f t="shared" si="4"/>
        <v>23.411391304347827</v>
      </c>
      <c r="S8" s="84">
        <f t="shared" si="5"/>
        <v>-0.62404347826086948</v>
      </c>
      <c r="T8" s="86"/>
      <c r="U8" s="86"/>
      <c r="V8" s="86"/>
    </row>
    <row r="9" spans="1:22" x14ac:dyDescent="0.35">
      <c r="A9" s="86"/>
      <c r="B9" s="85" t="s">
        <v>170</v>
      </c>
      <c r="C9" s="85">
        <v>168.53639999999999</v>
      </c>
      <c r="D9" s="85">
        <v>167.143</v>
      </c>
      <c r="E9" s="20">
        <v>0.63036020583190389</v>
      </c>
      <c r="F9" s="94">
        <v>6.8</v>
      </c>
      <c r="G9" s="85"/>
      <c r="H9" s="86"/>
      <c r="I9" s="86"/>
      <c r="J9" s="85" t="s">
        <v>170</v>
      </c>
      <c r="K9" s="87">
        <f t="shared" si="0"/>
        <v>267.36522775510207</v>
      </c>
      <c r="L9" s="87">
        <f t="shared" si="1"/>
        <v>265.15474557823131</v>
      </c>
      <c r="M9" s="84">
        <f t="shared" si="2"/>
        <v>2.2104821768707552</v>
      </c>
      <c r="N9" s="86"/>
      <c r="O9" s="86"/>
      <c r="P9" s="85" t="s">
        <v>170</v>
      </c>
      <c r="Q9" s="85">
        <f t="shared" si="3"/>
        <v>24.784764705882353</v>
      </c>
      <c r="R9" s="85">
        <f t="shared" si="4"/>
        <v>24.579852941176473</v>
      </c>
      <c r="S9" s="84">
        <f t="shared" si="5"/>
        <v>0.20491176470588002</v>
      </c>
      <c r="T9" s="86"/>
      <c r="U9" s="86"/>
      <c r="V9" s="86"/>
    </row>
    <row r="10" spans="1:22" x14ac:dyDescent="0.35">
      <c r="A10" s="86"/>
      <c r="B10" s="85" t="s">
        <v>171</v>
      </c>
      <c r="C10" s="85">
        <v>185.27029999999999</v>
      </c>
      <c r="D10" s="85">
        <v>190.39609999999999</v>
      </c>
      <c r="E10" s="20">
        <v>0.6400800457404231</v>
      </c>
      <c r="F10" s="93">
        <v>7.5</v>
      </c>
      <c r="G10" s="85"/>
      <c r="H10" s="86"/>
      <c r="I10" s="86"/>
      <c r="J10" s="85" t="s">
        <v>171</v>
      </c>
      <c r="K10" s="87">
        <f t="shared" si="0"/>
        <v>289.44864198302815</v>
      </c>
      <c r="L10" s="87">
        <f t="shared" si="1"/>
        <v>297.45670290308169</v>
      </c>
      <c r="M10" s="84">
        <f t="shared" si="2"/>
        <v>-8.0080609200535378</v>
      </c>
      <c r="N10" s="86"/>
      <c r="O10" s="86"/>
      <c r="P10" s="85" t="s">
        <v>171</v>
      </c>
      <c r="Q10" s="85">
        <f t="shared" si="3"/>
        <v>24.702706666666664</v>
      </c>
      <c r="R10" s="85">
        <f t="shared" si="4"/>
        <v>25.386146666666665</v>
      </c>
      <c r="S10" s="84">
        <f t="shared" si="5"/>
        <v>-0.68344000000000094</v>
      </c>
      <c r="T10" s="86"/>
      <c r="U10" s="86"/>
      <c r="V10" s="86"/>
    </row>
    <row r="11" spans="1:22" x14ac:dyDescent="0.35">
      <c r="A11" s="86"/>
      <c r="B11" s="85" t="s">
        <v>172</v>
      </c>
      <c r="C11" s="85">
        <v>192.62980000000002</v>
      </c>
      <c r="D11" s="85">
        <v>205.52189999999999</v>
      </c>
      <c r="E11" s="20">
        <v>0.64779874213836486</v>
      </c>
      <c r="F11" s="93">
        <v>8.1999999999999993</v>
      </c>
      <c r="G11" s="85"/>
      <c r="H11" s="86"/>
      <c r="I11" s="86"/>
      <c r="J11" s="85" t="s">
        <v>172</v>
      </c>
      <c r="K11" s="87">
        <f t="shared" si="0"/>
        <v>297.36056504854366</v>
      </c>
      <c r="L11" s="87">
        <f t="shared" si="1"/>
        <v>317.26196213592226</v>
      </c>
      <c r="M11" s="84">
        <f t="shared" si="2"/>
        <v>-19.901397087378598</v>
      </c>
      <c r="N11" s="86"/>
      <c r="O11" s="86"/>
      <c r="P11" s="85" t="s">
        <v>172</v>
      </c>
      <c r="Q11" s="85">
        <f t="shared" si="3"/>
        <v>23.49143902439025</v>
      </c>
      <c r="R11" s="85">
        <f t="shared" si="4"/>
        <v>25.063646341463414</v>
      </c>
      <c r="S11" s="84">
        <f t="shared" si="5"/>
        <v>-1.5722073170731647</v>
      </c>
      <c r="T11" s="86"/>
      <c r="U11" s="86"/>
      <c r="V11" s="86"/>
    </row>
    <row r="12" spans="1:22" x14ac:dyDescent="0.35">
      <c r="A12" s="86">
        <v>2012</v>
      </c>
      <c r="B12" s="85" t="s">
        <v>169</v>
      </c>
      <c r="C12" s="85">
        <v>171.57160000000002</v>
      </c>
      <c r="D12" s="85">
        <v>198.06680000000003</v>
      </c>
      <c r="E12" s="20">
        <v>0.65723270440251558</v>
      </c>
      <c r="F12" s="93">
        <v>7.6</v>
      </c>
      <c r="G12" s="85"/>
      <c r="H12" s="86"/>
      <c r="I12" s="86">
        <v>2012</v>
      </c>
      <c r="J12" s="85" t="s">
        <v>169</v>
      </c>
      <c r="K12" s="87">
        <f t="shared" si="0"/>
        <v>261.05152535885173</v>
      </c>
      <c r="L12" s="87">
        <f t="shared" si="1"/>
        <v>301.36479617224893</v>
      </c>
      <c r="M12" s="84">
        <f t="shared" si="2"/>
        <v>-40.313270813397196</v>
      </c>
      <c r="N12" s="86"/>
      <c r="O12" s="86">
        <v>2012</v>
      </c>
      <c r="P12" s="85" t="s">
        <v>169</v>
      </c>
      <c r="Q12" s="85">
        <f t="shared" si="3"/>
        <v>22.575210526315793</v>
      </c>
      <c r="R12" s="85">
        <f t="shared" si="4"/>
        <v>26.061421052631584</v>
      </c>
      <c r="S12" s="84">
        <f t="shared" si="5"/>
        <v>-3.4862105263157908</v>
      </c>
      <c r="T12" s="86"/>
      <c r="U12" s="86"/>
      <c r="V12" s="86"/>
    </row>
    <row r="13" spans="1:22" x14ac:dyDescent="0.35">
      <c r="A13" s="86"/>
      <c r="B13" s="85" t="s">
        <v>170</v>
      </c>
      <c r="C13" s="85">
        <v>176.64229999999998</v>
      </c>
      <c r="D13" s="85">
        <v>201.17069999999998</v>
      </c>
      <c r="E13" s="20">
        <v>0.66723842195540306</v>
      </c>
      <c r="F13" s="93">
        <v>8.4</v>
      </c>
      <c r="G13" s="85"/>
      <c r="H13" s="86"/>
      <c r="I13" s="86"/>
      <c r="J13" s="85" t="s">
        <v>170</v>
      </c>
      <c r="K13" s="87">
        <f t="shared" si="0"/>
        <v>264.7364033419023</v>
      </c>
      <c r="L13" s="87">
        <f t="shared" si="1"/>
        <v>301.49747583547554</v>
      </c>
      <c r="M13" s="84">
        <f t="shared" si="2"/>
        <v>-36.761072493573238</v>
      </c>
      <c r="N13" s="86"/>
      <c r="O13" s="86"/>
      <c r="P13" s="85" t="s">
        <v>170</v>
      </c>
      <c r="Q13" s="85">
        <f t="shared" si="3"/>
        <v>21.028845238095233</v>
      </c>
      <c r="R13" s="85">
        <f t="shared" si="4"/>
        <v>23.948892857142855</v>
      </c>
      <c r="S13" s="84">
        <f t="shared" si="5"/>
        <v>-2.9200476190476223</v>
      </c>
      <c r="T13" s="86"/>
      <c r="U13" s="86"/>
      <c r="V13" s="86"/>
    </row>
    <row r="14" spans="1:22" x14ac:dyDescent="0.35">
      <c r="A14" s="86"/>
      <c r="B14" s="85" t="s">
        <v>171</v>
      </c>
      <c r="C14" s="85">
        <v>181.62620000000001</v>
      </c>
      <c r="D14" s="85">
        <v>214.29840000000002</v>
      </c>
      <c r="E14" s="20">
        <v>0.67324185248713542</v>
      </c>
      <c r="F14" s="93">
        <v>8.3000000000000007</v>
      </c>
      <c r="G14" s="85"/>
      <c r="H14" s="86"/>
      <c r="I14" s="86"/>
      <c r="J14" s="85" t="s">
        <v>171</v>
      </c>
      <c r="K14" s="87">
        <f t="shared" si="0"/>
        <v>269.77853401273893</v>
      </c>
      <c r="L14" s="87">
        <f t="shared" si="1"/>
        <v>318.30819668789815</v>
      </c>
      <c r="M14" s="84">
        <f t="shared" si="2"/>
        <v>-48.529662675159216</v>
      </c>
      <c r="N14" s="86"/>
      <c r="O14" s="86"/>
      <c r="P14" s="85" t="s">
        <v>171</v>
      </c>
      <c r="Q14" s="85">
        <f t="shared" si="3"/>
        <v>21.882674698795181</v>
      </c>
      <c r="R14" s="85">
        <f t="shared" si="4"/>
        <v>25.819084337349398</v>
      </c>
      <c r="S14" s="84">
        <f t="shared" si="5"/>
        <v>-3.9364096385542169</v>
      </c>
      <c r="T14" s="86"/>
      <c r="U14" s="86"/>
      <c r="V14" s="86"/>
    </row>
    <row r="15" spans="1:22" x14ac:dyDescent="0.35">
      <c r="A15" s="86"/>
      <c r="B15" s="85" t="s">
        <v>172</v>
      </c>
      <c r="C15" s="85">
        <v>186.66560000000001</v>
      </c>
      <c r="D15" s="85">
        <v>219.001</v>
      </c>
      <c r="E15" s="20">
        <v>0.68467695826186381</v>
      </c>
      <c r="F15" s="93">
        <v>8.6</v>
      </c>
      <c r="G15" s="85"/>
      <c r="H15" s="86"/>
      <c r="I15" s="86"/>
      <c r="J15" s="85" t="s">
        <v>172</v>
      </c>
      <c r="K15" s="87">
        <f t="shared" si="0"/>
        <v>272.63309762004184</v>
      </c>
      <c r="L15" s="87">
        <f t="shared" si="1"/>
        <v>319.86033319415452</v>
      </c>
      <c r="M15" s="84">
        <f t="shared" si="2"/>
        <v>-47.227235574112683</v>
      </c>
      <c r="N15" s="86"/>
      <c r="O15" s="86"/>
      <c r="P15" s="85" t="s">
        <v>172</v>
      </c>
      <c r="Q15" s="85">
        <f t="shared" si="3"/>
        <v>21.705302325581396</v>
      </c>
      <c r="R15" s="85">
        <f t="shared" si="4"/>
        <v>25.465232558139537</v>
      </c>
      <c r="S15" s="84">
        <f t="shared" si="5"/>
        <v>-3.7599302325581405</v>
      </c>
      <c r="T15" s="86"/>
      <c r="U15" s="86"/>
      <c r="V15" s="86"/>
    </row>
    <row r="16" spans="1:22" x14ac:dyDescent="0.35">
      <c r="A16" s="86">
        <v>2013</v>
      </c>
      <c r="B16" s="85" t="s">
        <v>169</v>
      </c>
      <c r="C16" s="85">
        <v>178.93490000000003</v>
      </c>
      <c r="D16" s="85">
        <v>221.49449999999999</v>
      </c>
      <c r="E16" s="20">
        <v>0.695540308747856</v>
      </c>
      <c r="F16" s="93">
        <v>9.1999999999999993</v>
      </c>
      <c r="G16" s="85"/>
      <c r="H16" s="86"/>
      <c r="I16" s="86">
        <v>2013</v>
      </c>
      <c r="J16" s="85" t="s">
        <v>169</v>
      </c>
      <c r="K16" s="87">
        <f t="shared" si="0"/>
        <v>257.26028779284837</v>
      </c>
      <c r="L16" s="87">
        <f t="shared" si="1"/>
        <v>318.44955240443892</v>
      </c>
      <c r="M16" s="84">
        <f t="shared" si="2"/>
        <v>-61.189264611590545</v>
      </c>
      <c r="N16" s="86"/>
      <c r="O16" s="86">
        <v>2013</v>
      </c>
      <c r="P16" s="85" t="s">
        <v>169</v>
      </c>
      <c r="Q16" s="85">
        <f t="shared" si="3"/>
        <v>19.449445652173917</v>
      </c>
      <c r="R16" s="85">
        <f t="shared" si="4"/>
        <v>24.075489130434782</v>
      </c>
      <c r="S16" s="84">
        <f t="shared" si="5"/>
        <v>-4.6260434782608648</v>
      </c>
      <c r="T16" s="86"/>
      <c r="U16" s="86"/>
      <c r="V16" s="86"/>
    </row>
    <row r="17" spans="1:22" x14ac:dyDescent="0.35">
      <c r="A17" s="86"/>
      <c r="B17" s="85" t="s">
        <v>170</v>
      </c>
      <c r="C17" s="85">
        <v>200.6173</v>
      </c>
      <c r="D17" s="85">
        <v>235.74379999999999</v>
      </c>
      <c r="E17" s="20">
        <v>0.70468839336763867</v>
      </c>
      <c r="F17" s="93">
        <v>10</v>
      </c>
      <c r="G17" s="85"/>
      <c r="H17" s="86"/>
      <c r="I17" s="86"/>
      <c r="J17" s="85" t="s">
        <v>170</v>
      </c>
      <c r="K17" s="87">
        <f t="shared" si="0"/>
        <v>284.68937744421908</v>
      </c>
      <c r="L17" s="87">
        <f t="shared" si="1"/>
        <v>334.53623221095336</v>
      </c>
      <c r="M17" s="84">
        <f t="shared" si="2"/>
        <v>-49.846854766734282</v>
      </c>
      <c r="N17" s="86"/>
      <c r="O17" s="86"/>
      <c r="P17" s="85" t="s">
        <v>170</v>
      </c>
      <c r="Q17" s="85">
        <f t="shared" si="3"/>
        <v>20.061730000000001</v>
      </c>
      <c r="R17" s="85">
        <f t="shared" si="4"/>
        <v>23.574379999999998</v>
      </c>
      <c r="S17" s="84">
        <f t="shared" si="5"/>
        <v>-3.5126499999999972</v>
      </c>
      <c r="T17" s="86"/>
      <c r="U17" s="86"/>
      <c r="V17" s="86"/>
    </row>
    <row r="18" spans="1:22" x14ac:dyDescent="0.35">
      <c r="A18" s="86"/>
      <c r="B18" s="85" t="s">
        <v>171</v>
      </c>
      <c r="C18" s="85">
        <v>223.13239999999996</v>
      </c>
      <c r="D18" s="85">
        <v>267.51590000000004</v>
      </c>
      <c r="E18" s="20">
        <v>0.71555174385363063</v>
      </c>
      <c r="F18" s="93">
        <v>10</v>
      </c>
      <c r="G18" s="85"/>
      <c r="H18" s="86"/>
      <c r="I18" s="86"/>
      <c r="J18" s="85" t="s">
        <v>171</v>
      </c>
      <c r="K18" s="87">
        <f t="shared" si="0"/>
        <v>311.83265489412702</v>
      </c>
      <c r="L18" s="87">
        <f t="shared" si="1"/>
        <v>373.85961574111076</v>
      </c>
      <c r="M18" s="84">
        <f t="shared" si="2"/>
        <v>-62.026960846983741</v>
      </c>
      <c r="N18" s="86"/>
      <c r="O18" s="86"/>
      <c r="P18" s="85" t="s">
        <v>171</v>
      </c>
      <c r="Q18" s="85">
        <f t="shared" si="3"/>
        <v>22.313239999999997</v>
      </c>
      <c r="R18" s="85">
        <f t="shared" si="4"/>
        <v>26.751590000000004</v>
      </c>
      <c r="S18" s="84">
        <f t="shared" si="5"/>
        <v>-4.4383500000000069</v>
      </c>
      <c r="T18" s="86"/>
      <c r="U18" s="86"/>
      <c r="V18" s="86"/>
    </row>
    <row r="19" spans="1:22" x14ac:dyDescent="0.35">
      <c r="A19" s="86"/>
      <c r="B19" s="85" t="s">
        <v>172</v>
      </c>
      <c r="C19" s="85">
        <v>246.34179999999998</v>
      </c>
      <c r="D19" s="85">
        <v>254.8818</v>
      </c>
      <c r="E19" s="20">
        <v>0.72155517438536299</v>
      </c>
      <c r="F19" s="93">
        <v>10.4</v>
      </c>
      <c r="G19" s="85"/>
      <c r="H19" s="86"/>
      <c r="I19" s="86"/>
      <c r="J19" s="85" t="s">
        <v>172</v>
      </c>
      <c r="K19" s="87">
        <f t="shared" si="0"/>
        <v>341.40396846275752</v>
      </c>
      <c r="L19" s="87">
        <f t="shared" si="1"/>
        <v>353.23951521394616</v>
      </c>
      <c r="M19" s="84">
        <f t="shared" si="2"/>
        <v>-11.835546751188645</v>
      </c>
      <c r="N19" s="86"/>
      <c r="O19" s="86"/>
      <c r="P19" s="85" t="s">
        <v>172</v>
      </c>
      <c r="Q19" s="85">
        <f t="shared" si="3"/>
        <v>23.686711538461534</v>
      </c>
      <c r="R19" s="85">
        <f t="shared" si="4"/>
        <v>24.507865384615382</v>
      </c>
      <c r="S19" s="84">
        <f t="shared" si="5"/>
        <v>-0.82115384615384812</v>
      </c>
      <c r="T19" s="86"/>
      <c r="U19" s="86"/>
      <c r="V19" s="86"/>
    </row>
    <row r="20" spans="1:22" x14ac:dyDescent="0.35">
      <c r="A20" s="86">
        <v>2014</v>
      </c>
      <c r="B20" s="85" t="s">
        <v>169</v>
      </c>
      <c r="C20" s="85">
        <v>240.03999999999996</v>
      </c>
      <c r="D20" s="85">
        <v>268.20590000000004</v>
      </c>
      <c r="E20" s="20">
        <v>0.73642081189250996</v>
      </c>
      <c r="F20" s="93">
        <v>10.7</v>
      </c>
      <c r="G20" s="85"/>
      <c r="H20" s="86"/>
      <c r="I20" s="86">
        <v>2014</v>
      </c>
      <c r="J20" s="85" t="s">
        <v>169</v>
      </c>
      <c r="K20" s="87">
        <f t="shared" si="0"/>
        <v>325.95493788819874</v>
      </c>
      <c r="L20" s="87">
        <f t="shared" si="1"/>
        <v>364.20195582298146</v>
      </c>
      <c r="M20" s="84">
        <f t="shared" si="2"/>
        <v>-38.247017934782718</v>
      </c>
      <c r="N20" s="86"/>
      <c r="O20" s="86">
        <v>2014</v>
      </c>
      <c r="P20" s="85" t="s">
        <v>169</v>
      </c>
      <c r="Q20" s="85">
        <f t="shared" si="3"/>
        <v>22.433644859813082</v>
      </c>
      <c r="R20" s="85">
        <f t="shared" si="4"/>
        <v>25.065971962616828</v>
      </c>
      <c r="S20" s="84">
        <f t="shared" si="5"/>
        <v>-2.632327102803746</v>
      </c>
      <c r="T20" s="86"/>
      <c r="U20" s="86"/>
      <c r="V20" s="86"/>
    </row>
    <row r="21" spans="1:22" x14ac:dyDescent="0.35">
      <c r="A21" s="86"/>
      <c r="B21" s="85" t="s">
        <v>170</v>
      </c>
      <c r="C21" s="85">
        <v>235.26420000000002</v>
      </c>
      <c r="D21" s="85">
        <v>255.5685</v>
      </c>
      <c r="E21" s="20">
        <v>0.75128644939965672</v>
      </c>
      <c r="F21" s="93">
        <v>10.7</v>
      </c>
      <c r="G21" s="85"/>
      <c r="H21" s="86"/>
      <c r="I21" s="86"/>
      <c r="J21" s="85" t="s">
        <v>170</v>
      </c>
      <c r="K21" s="87">
        <f t="shared" si="0"/>
        <v>313.14846712328779</v>
      </c>
      <c r="L21" s="87">
        <f t="shared" si="1"/>
        <v>340.17451027397271</v>
      </c>
      <c r="M21" s="84">
        <f t="shared" si="2"/>
        <v>-27.026043150684927</v>
      </c>
      <c r="N21" s="86"/>
      <c r="O21" s="86"/>
      <c r="P21" s="85" t="s">
        <v>170</v>
      </c>
      <c r="Q21" s="85">
        <f t="shared" si="3"/>
        <v>21.987308411214958</v>
      </c>
      <c r="R21" s="85">
        <f t="shared" si="4"/>
        <v>23.884906542056076</v>
      </c>
      <c r="S21" s="84">
        <f t="shared" si="5"/>
        <v>-1.8975981308411178</v>
      </c>
      <c r="T21" s="86"/>
      <c r="U21" s="86"/>
      <c r="V21" s="86"/>
    </row>
    <row r="22" spans="1:22" x14ac:dyDescent="0.35">
      <c r="A22" s="86"/>
      <c r="B22" s="85" t="s">
        <v>171</v>
      </c>
      <c r="C22" s="85">
        <v>244.65470000000005</v>
      </c>
      <c r="D22" s="85">
        <v>279.45949999999999</v>
      </c>
      <c r="E22" s="20">
        <v>0.76100628930817604</v>
      </c>
      <c r="F22" s="92">
        <v>11</v>
      </c>
      <c r="G22" s="85"/>
      <c r="H22" s="86"/>
      <c r="I22" s="86"/>
      <c r="J22" s="85" t="s">
        <v>171</v>
      </c>
      <c r="K22" s="87">
        <f t="shared" si="0"/>
        <v>321.48840743801662</v>
      </c>
      <c r="L22" s="87">
        <f t="shared" si="1"/>
        <v>367.22364049586781</v>
      </c>
      <c r="M22" s="84">
        <f t="shared" si="2"/>
        <v>-45.73523305785119</v>
      </c>
      <c r="N22" s="86"/>
      <c r="O22" s="86"/>
      <c r="P22" s="85" t="s">
        <v>171</v>
      </c>
      <c r="Q22" s="85">
        <f t="shared" si="3"/>
        <v>22.241336363636368</v>
      </c>
      <c r="R22" s="85">
        <f t="shared" si="4"/>
        <v>25.405409090909089</v>
      </c>
      <c r="S22" s="84">
        <f t="shared" si="5"/>
        <v>-3.1640727272727212</v>
      </c>
      <c r="T22" s="86"/>
      <c r="U22" s="86"/>
      <c r="V22" s="86"/>
    </row>
    <row r="23" spans="1:22" x14ac:dyDescent="0.35">
      <c r="A23" s="86"/>
      <c r="B23" s="85" t="s">
        <v>172</v>
      </c>
      <c r="C23" s="85">
        <v>260.21949999999998</v>
      </c>
      <c r="D23" s="85">
        <v>280.45539999999994</v>
      </c>
      <c r="E23" s="20">
        <v>0.76272155517438534</v>
      </c>
      <c r="F23" s="92">
        <v>11.5</v>
      </c>
      <c r="G23" s="85"/>
      <c r="H23" s="86"/>
      <c r="I23" s="86"/>
      <c r="J23" s="85" t="s">
        <v>172</v>
      </c>
      <c r="K23" s="87">
        <f t="shared" si="0"/>
        <v>341.17234295352324</v>
      </c>
      <c r="L23" s="87">
        <f t="shared" si="1"/>
        <v>367.70351919040473</v>
      </c>
      <c r="M23" s="84">
        <f t="shared" si="2"/>
        <v>-26.531176236881493</v>
      </c>
      <c r="N23" s="86"/>
      <c r="O23" s="86"/>
      <c r="P23" s="85" t="s">
        <v>172</v>
      </c>
      <c r="Q23" s="85">
        <f t="shared" si="3"/>
        <v>22.62778260869565</v>
      </c>
      <c r="R23" s="85">
        <f t="shared" si="4"/>
        <v>24.387426086956516</v>
      </c>
      <c r="S23" s="84">
        <f t="shared" si="5"/>
        <v>-1.7596434782608661</v>
      </c>
      <c r="T23" s="86"/>
      <c r="U23" s="86"/>
      <c r="V23" s="86"/>
    </row>
    <row r="24" spans="1:22" x14ac:dyDescent="0.35">
      <c r="A24" s="86">
        <v>2015</v>
      </c>
      <c r="B24" s="85" t="s">
        <v>169</v>
      </c>
      <c r="C24" s="85">
        <v>234.50819999999999</v>
      </c>
      <c r="D24" s="85">
        <v>267.46060000000006</v>
      </c>
      <c r="E24" s="20">
        <v>0.76729559748427656</v>
      </c>
      <c r="F24" s="92">
        <v>12.1</v>
      </c>
      <c r="G24" s="85"/>
      <c r="H24" s="86"/>
      <c r="I24" s="86">
        <v>2015</v>
      </c>
      <c r="J24" s="85" t="s">
        <v>169</v>
      </c>
      <c r="K24" s="87">
        <f t="shared" si="0"/>
        <v>305.62953934426235</v>
      </c>
      <c r="L24" s="87">
        <f t="shared" si="1"/>
        <v>348.57570000000015</v>
      </c>
      <c r="M24" s="84">
        <f t="shared" si="2"/>
        <v>-42.946160655737799</v>
      </c>
      <c r="N24" s="86"/>
      <c r="O24" s="86">
        <v>2015</v>
      </c>
      <c r="P24" s="85" t="s">
        <v>169</v>
      </c>
      <c r="Q24" s="85">
        <f t="shared" si="3"/>
        <v>19.380842975206612</v>
      </c>
      <c r="R24" s="85">
        <f t="shared" si="4"/>
        <v>22.104181818181825</v>
      </c>
      <c r="S24" s="84">
        <f t="shared" si="5"/>
        <v>-2.7233388429752132</v>
      </c>
      <c r="T24" s="86"/>
      <c r="U24" s="86"/>
      <c r="V24" s="86"/>
    </row>
    <row r="25" spans="1:22" x14ac:dyDescent="0.35">
      <c r="A25" s="86"/>
      <c r="B25" s="85" t="s">
        <v>170</v>
      </c>
      <c r="C25" s="85">
        <v>263.77029999999996</v>
      </c>
      <c r="D25" s="85">
        <v>254.7902</v>
      </c>
      <c r="E25" s="20">
        <v>0.7850200114351058</v>
      </c>
      <c r="F25" s="92">
        <v>12.3</v>
      </c>
      <c r="G25" s="85"/>
      <c r="H25" s="86"/>
      <c r="I25" s="86"/>
      <c r="J25" s="85" t="s">
        <v>170</v>
      </c>
      <c r="K25" s="87">
        <f t="shared" si="0"/>
        <v>336.00455549890745</v>
      </c>
      <c r="L25" s="87">
        <f t="shared" si="1"/>
        <v>324.56522927895116</v>
      </c>
      <c r="M25" s="84">
        <f t="shared" si="2"/>
        <v>11.439326219956286</v>
      </c>
      <c r="N25" s="86"/>
      <c r="O25" s="86"/>
      <c r="P25" s="85" t="s">
        <v>170</v>
      </c>
      <c r="Q25" s="85">
        <f t="shared" si="3"/>
        <v>21.44473983739837</v>
      </c>
      <c r="R25" s="85">
        <f t="shared" si="4"/>
        <v>20.714650406504063</v>
      </c>
      <c r="S25" s="84">
        <f t="shared" si="5"/>
        <v>0.73008943089430645</v>
      </c>
      <c r="T25" s="86"/>
      <c r="U25" s="86"/>
      <c r="V25" s="86"/>
    </row>
    <row r="26" spans="1:22" x14ac:dyDescent="0.35">
      <c r="A26" s="86"/>
      <c r="B26" s="85" t="s">
        <v>171</v>
      </c>
      <c r="C26" s="85">
        <v>272.79109999999997</v>
      </c>
      <c r="D26" s="85">
        <v>284.92629999999997</v>
      </c>
      <c r="E26" s="20">
        <v>0.79559748427672949</v>
      </c>
      <c r="F26" s="92">
        <v>13.6</v>
      </c>
      <c r="G26" s="85"/>
      <c r="H26" s="86"/>
      <c r="I26" s="86"/>
      <c r="J26" s="85" t="s">
        <v>171</v>
      </c>
      <c r="K26" s="87">
        <f t="shared" si="0"/>
        <v>342.87576996047432</v>
      </c>
      <c r="L26" s="87">
        <f t="shared" si="1"/>
        <v>358.12870909090907</v>
      </c>
      <c r="M26" s="84">
        <f t="shared" si="2"/>
        <v>-15.252939130434754</v>
      </c>
      <c r="N26" s="86"/>
      <c r="O26" s="86"/>
      <c r="P26" s="85" t="s">
        <v>171</v>
      </c>
      <c r="Q26" s="85">
        <f t="shared" si="3"/>
        <v>20.058169117647058</v>
      </c>
      <c r="R26" s="85">
        <f t="shared" si="4"/>
        <v>20.950463235294116</v>
      </c>
      <c r="S26" s="84">
        <f t="shared" si="5"/>
        <v>-0.89229411764705802</v>
      </c>
      <c r="T26" s="86"/>
      <c r="U26" s="86"/>
      <c r="V26" s="86"/>
    </row>
    <row r="27" spans="1:22" x14ac:dyDescent="0.35">
      <c r="A27" s="86"/>
      <c r="B27" s="85" t="s">
        <v>172</v>
      </c>
      <c r="C27" s="85">
        <v>268.1377</v>
      </c>
      <c r="D27" s="85">
        <v>280.83350000000002</v>
      </c>
      <c r="E27" s="20">
        <v>0.79931389365351624</v>
      </c>
      <c r="F27" s="90">
        <v>15.1</v>
      </c>
      <c r="G27" s="85"/>
      <c r="H27" s="86"/>
      <c r="I27" s="86"/>
      <c r="J27" s="85" t="s">
        <v>172</v>
      </c>
      <c r="K27" s="87">
        <f t="shared" si="0"/>
        <v>335.45982639484981</v>
      </c>
      <c r="L27" s="87">
        <f t="shared" si="1"/>
        <v>351.34319849785413</v>
      </c>
      <c r="M27" s="84">
        <f t="shared" si="2"/>
        <v>-15.883372103004319</v>
      </c>
      <c r="N27" s="86"/>
      <c r="O27" s="86"/>
      <c r="P27" s="85" t="s">
        <v>172</v>
      </c>
      <c r="Q27" s="85">
        <f t="shared" si="3"/>
        <v>17.757463576158941</v>
      </c>
      <c r="R27" s="85">
        <f t="shared" si="4"/>
        <v>18.598245033112583</v>
      </c>
      <c r="S27" s="84">
        <f t="shared" si="5"/>
        <v>-0.8407814569536427</v>
      </c>
      <c r="T27" s="86"/>
      <c r="U27" s="86"/>
      <c r="V27" s="86"/>
    </row>
    <row r="28" spans="1:22" x14ac:dyDescent="0.35">
      <c r="A28" s="86">
        <v>2016</v>
      </c>
      <c r="B28" s="85" t="s">
        <v>169</v>
      </c>
      <c r="C28" s="85">
        <v>257.99959999999999</v>
      </c>
      <c r="D28" s="85">
        <v>274.31479999999999</v>
      </c>
      <c r="E28" s="20">
        <v>0.81761006289308169</v>
      </c>
      <c r="F28" s="92">
        <v>15.4</v>
      </c>
      <c r="G28" s="85"/>
      <c r="H28" s="86"/>
      <c r="I28" s="86">
        <v>2016</v>
      </c>
      <c r="J28" s="85" t="s">
        <v>169</v>
      </c>
      <c r="K28" s="87">
        <f t="shared" si="0"/>
        <v>315.55335692307693</v>
      </c>
      <c r="L28" s="87">
        <f t="shared" si="1"/>
        <v>335.50810153846157</v>
      </c>
      <c r="M28" s="84">
        <f t="shared" si="2"/>
        <v>-19.954744615384641</v>
      </c>
      <c r="N28" s="86"/>
      <c r="O28" s="86">
        <v>2016</v>
      </c>
      <c r="P28" s="85" t="s">
        <v>169</v>
      </c>
      <c r="Q28" s="85">
        <f t="shared" si="3"/>
        <v>16.753220779220779</v>
      </c>
      <c r="R28" s="85">
        <f t="shared" si="4"/>
        <v>17.812649350649348</v>
      </c>
      <c r="S28" s="84">
        <f t="shared" si="5"/>
        <v>-1.0594285714285689</v>
      </c>
      <c r="T28" s="86"/>
      <c r="U28" s="86"/>
      <c r="V28" s="86"/>
    </row>
    <row r="29" spans="1:22" x14ac:dyDescent="0.35">
      <c r="A29" s="86"/>
      <c r="B29" s="85" t="s">
        <v>170</v>
      </c>
      <c r="C29" s="85">
        <v>301.59190000000001</v>
      </c>
      <c r="D29" s="85">
        <v>270.82360000000006</v>
      </c>
      <c r="E29" s="20">
        <v>0.83619210977701541</v>
      </c>
      <c r="F29" s="92">
        <v>15.1</v>
      </c>
      <c r="G29" s="85"/>
      <c r="H29" s="86"/>
      <c r="I29" s="86"/>
      <c r="J29" s="85" t="s">
        <v>170</v>
      </c>
      <c r="K29" s="87">
        <f t="shared" si="0"/>
        <v>360.67297989743594</v>
      </c>
      <c r="L29" s="87">
        <f t="shared" si="1"/>
        <v>323.87724882051288</v>
      </c>
      <c r="M29" s="84">
        <f t="shared" si="2"/>
        <v>36.795731076923062</v>
      </c>
      <c r="N29" s="86"/>
      <c r="O29" s="86"/>
      <c r="P29" s="85" t="s">
        <v>170</v>
      </c>
      <c r="Q29" s="85">
        <f t="shared" si="3"/>
        <v>19.972973509933777</v>
      </c>
      <c r="R29" s="85">
        <f t="shared" si="4"/>
        <v>17.935337748344374</v>
      </c>
      <c r="S29" s="84">
        <f t="shared" si="5"/>
        <v>2.037635761589403</v>
      </c>
      <c r="T29" s="86"/>
      <c r="U29" s="86"/>
      <c r="V29" s="86"/>
    </row>
    <row r="30" spans="1:22" x14ac:dyDescent="0.35">
      <c r="A30" s="86"/>
      <c r="B30" s="85" t="s">
        <v>171</v>
      </c>
      <c r="C30" s="85">
        <v>284.87779999999998</v>
      </c>
      <c r="D30" s="85">
        <v>281.46580000000006</v>
      </c>
      <c r="E30" s="20">
        <v>0.84648370497427095</v>
      </c>
      <c r="F30" s="91">
        <v>14</v>
      </c>
      <c r="G30" s="85"/>
      <c r="H30" s="86"/>
      <c r="I30" s="86"/>
      <c r="J30" s="85" t="s">
        <v>171</v>
      </c>
      <c r="K30" s="87">
        <f t="shared" si="0"/>
        <v>336.54256818642352</v>
      </c>
      <c r="L30" s="87">
        <f t="shared" si="1"/>
        <v>332.5117758865249</v>
      </c>
      <c r="M30" s="84">
        <f t="shared" si="2"/>
        <v>4.0307922998986214</v>
      </c>
      <c r="N30" s="86"/>
      <c r="O30" s="86"/>
      <c r="P30" s="85" t="s">
        <v>171</v>
      </c>
      <c r="Q30" s="85">
        <f t="shared" si="3"/>
        <v>20.348414285714284</v>
      </c>
      <c r="R30" s="85">
        <f t="shared" si="4"/>
        <v>20.104700000000005</v>
      </c>
      <c r="S30" s="84">
        <f t="shared" si="5"/>
        <v>0.24371428571427955</v>
      </c>
      <c r="T30" s="86"/>
      <c r="U30" s="86"/>
      <c r="V30" s="86"/>
    </row>
    <row r="31" spans="1:22" x14ac:dyDescent="0.35">
      <c r="A31" s="86"/>
      <c r="B31" s="85" t="s">
        <v>172</v>
      </c>
      <c r="C31" s="85">
        <v>280.40889999999996</v>
      </c>
      <c r="D31" s="85">
        <v>273.96949999999998</v>
      </c>
      <c r="E31" s="20">
        <v>0.85448827901658075</v>
      </c>
      <c r="F31" s="90">
        <v>13.9</v>
      </c>
      <c r="G31" s="85"/>
      <c r="H31" s="86"/>
      <c r="I31" s="86"/>
      <c r="J31" s="85" t="s">
        <v>172</v>
      </c>
      <c r="K31" s="87">
        <f t="shared" si="0"/>
        <v>328.16003084643694</v>
      </c>
      <c r="L31" s="87">
        <f t="shared" si="1"/>
        <v>320.62405854800943</v>
      </c>
      <c r="M31" s="84">
        <f t="shared" si="2"/>
        <v>7.5359722984275095</v>
      </c>
      <c r="N31" s="86"/>
      <c r="O31" s="86"/>
      <c r="P31" s="85" t="s">
        <v>172</v>
      </c>
      <c r="Q31" s="85">
        <f t="shared" si="3"/>
        <v>20.173302158273376</v>
      </c>
      <c r="R31" s="85">
        <f t="shared" si="4"/>
        <v>19.710035971223022</v>
      </c>
      <c r="S31" s="84">
        <f t="shared" si="5"/>
        <v>0.46326618705035472</v>
      </c>
      <c r="T31" s="86"/>
      <c r="U31" s="86"/>
      <c r="V31" s="86"/>
    </row>
    <row r="32" spans="1:22" x14ac:dyDescent="0.35">
      <c r="A32" s="89">
        <v>2017</v>
      </c>
      <c r="B32" s="89" t="s">
        <v>169</v>
      </c>
      <c r="C32" s="87">
        <v>268.72060000000005</v>
      </c>
      <c r="D32" s="87">
        <v>263.7127999999999</v>
      </c>
      <c r="E32" s="20">
        <v>0.87049742710120059</v>
      </c>
      <c r="F32" s="88">
        <v>13.232200000000001</v>
      </c>
      <c r="G32" s="89"/>
      <c r="H32" s="89"/>
      <c r="I32" s="89">
        <v>2017</v>
      </c>
      <c r="J32" s="89" t="s">
        <v>169</v>
      </c>
      <c r="K32" s="87">
        <f t="shared" si="0"/>
        <v>308.69775330049271</v>
      </c>
      <c r="L32" s="87">
        <f t="shared" si="1"/>
        <v>302.94495054187183</v>
      </c>
      <c r="M32" s="84">
        <f t="shared" si="2"/>
        <v>5.7528027586208736</v>
      </c>
      <c r="N32" s="89"/>
      <c r="O32" s="89">
        <v>2017</v>
      </c>
      <c r="P32" s="89" t="s">
        <v>169</v>
      </c>
      <c r="Q32" s="85">
        <f t="shared" si="3"/>
        <v>20.308081800456463</v>
      </c>
      <c r="R32" s="85">
        <f t="shared" si="4"/>
        <v>19.929626214839551</v>
      </c>
      <c r="S32" s="84">
        <f t="shared" si="5"/>
        <v>0.37845558561691206</v>
      </c>
      <c r="T32" s="86"/>
      <c r="U32" s="86"/>
      <c r="V32" s="86"/>
    </row>
    <row r="33" spans="1:22" x14ac:dyDescent="0.35">
      <c r="A33" s="83"/>
      <c r="B33" s="86" t="s">
        <v>170</v>
      </c>
      <c r="C33" s="87">
        <v>298.06640000000004</v>
      </c>
      <c r="D33" s="87">
        <v>273.04000000000002</v>
      </c>
      <c r="E33" s="20">
        <v>0.88050314465408808</v>
      </c>
      <c r="F33" s="88">
        <v>13.210266669999999</v>
      </c>
      <c r="G33" s="86"/>
      <c r="H33" s="86"/>
      <c r="I33" s="83"/>
      <c r="J33" s="86" t="s">
        <v>170</v>
      </c>
      <c r="K33" s="87">
        <f t="shared" si="0"/>
        <v>338.51826857142862</v>
      </c>
      <c r="L33" s="87">
        <f t="shared" si="1"/>
        <v>310.09542857142861</v>
      </c>
      <c r="M33" s="84">
        <f t="shared" si="2"/>
        <v>28.422840000000008</v>
      </c>
      <c r="N33" s="86"/>
      <c r="O33" s="83"/>
      <c r="P33" s="86" t="s">
        <v>170</v>
      </c>
      <c r="Q33" s="85">
        <f t="shared" si="3"/>
        <v>22.563238687444304</v>
      </c>
      <c r="R33" s="85">
        <f t="shared" si="4"/>
        <v>20.668772767476618</v>
      </c>
      <c r="S33" s="84">
        <f t="shared" si="5"/>
        <v>1.8944659199676863</v>
      </c>
      <c r="T33" s="86"/>
      <c r="U33" s="86"/>
      <c r="V33" s="86"/>
    </row>
    <row r="34" spans="1:22" x14ac:dyDescent="0.35">
      <c r="B34" s="86" t="s">
        <v>171</v>
      </c>
      <c r="C34" s="87">
        <v>298.68549999999999</v>
      </c>
      <c r="D34" s="87">
        <v>278.89699999999999</v>
      </c>
      <c r="E34" s="20">
        <v>0.88707833047455686</v>
      </c>
      <c r="F34" s="88">
        <v>13.167766666666665</v>
      </c>
      <c r="G34" s="86"/>
      <c r="H34" s="86"/>
      <c r="I34" s="83"/>
      <c r="J34" s="86" t="s">
        <v>171</v>
      </c>
      <c r="K34" s="87">
        <f t="shared" si="0"/>
        <v>336.70701869158876</v>
      </c>
      <c r="L34" s="87">
        <f t="shared" si="1"/>
        <v>314.39951853045437</v>
      </c>
      <c r="M34" s="84">
        <f t="shared" si="2"/>
        <v>22.307500161134385</v>
      </c>
      <c r="N34" s="86"/>
      <c r="O34" s="83"/>
      <c r="P34" s="86" t="s">
        <v>171</v>
      </c>
      <c r="Q34" s="85">
        <f t="shared" si="3"/>
        <v>22.683079641447677</v>
      </c>
      <c r="R34" s="85">
        <f t="shared" si="4"/>
        <v>21.18028114106923</v>
      </c>
      <c r="S34" s="84">
        <f t="shared" si="5"/>
        <v>1.5027985003784465</v>
      </c>
      <c r="T34" s="86"/>
      <c r="U34" s="86"/>
      <c r="V34" s="86"/>
    </row>
    <row r="35" spans="1:22" x14ac:dyDescent="0.35">
      <c r="B35" s="86" t="s">
        <v>172</v>
      </c>
      <c r="C35" s="87">
        <v>324.68040000000002</v>
      </c>
      <c r="D35" s="87">
        <v>291.56420000000003</v>
      </c>
      <c r="E35" s="20">
        <v>0.89479702687249851</v>
      </c>
      <c r="F35" s="88">
        <v>13.641366666666665</v>
      </c>
      <c r="G35" s="86"/>
      <c r="H35" s="86"/>
      <c r="I35" s="83"/>
      <c r="J35" s="86" t="s">
        <v>172</v>
      </c>
      <c r="K35" s="87">
        <f t="shared" si="0"/>
        <v>362.85368664536747</v>
      </c>
      <c r="L35" s="87">
        <f t="shared" si="1"/>
        <v>325.84395258785946</v>
      </c>
      <c r="M35" s="84">
        <f t="shared" si="2"/>
        <v>37.009734057508012</v>
      </c>
      <c r="N35" s="86"/>
      <c r="O35" s="83"/>
      <c r="P35" s="86" t="s">
        <v>172</v>
      </c>
      <c r="Q35" s="85">
        <f t="shared" si="3"/>
        <v>23.801163617526107</v>
      </c>
      <c r="R35" s="85">
        <f t="shared" si="4"/>
        <v>21.373532954909216</v>
      </c>
      <c r="S35" s="84">
        <f t="shared" si="5"/>
        <v>2.4276306626168918</v>
      </c>
      <c r="T35" s="86"/>
      <c r="U35" s="86"/>
      <c r="V35" s="86"/>
    </row>
    <row r="36" spans="1:22" x14ac:dyDescent="0.35">
      <c r="A36">
        <v>2018</v>
      </c>
      <c r="B36" s="86" t="s">
        <v>169</v>
      </c>
      <c r="C36" s="87">
        <v>269.1558</v>
      </c>
      <c r="D36" s="87">
        <v>287.40730000000002</v>
      </c>
      <c r="E36" s="20">
        <v>0.90623213264722691</v>
      </c>
      <c r="F36" s="88">
        <v>11.953899999999999</v>
      </c>
      <c r="G36" s="86"/>
      <c r="H36" s="86"/>
      <c r="I36" s="86">
        <v>2018</v>
      </c>
      <c r="J36" s="86" t="s">
        <v>169</v>
      </c>
      <c r="K36" s="87">
        <f t="shared" si="0"/>
        <v>297.00535911671926</v>
      </c>
      <c r="L36" s="87">
        <f t="shared" si="1"/>
        <v>317.14534239747638</v>
      </c>
      <c r="M36" s="84">
        <f t="shared" si="2"/>
        <v>-20.139983280757122</v>
      </c>
      <c r="N36" s="86"/>
      <c r="O36" s="83">
        <v>2018</v>
      </c>
      <c r="P36" s="86" t="s">
        <v>169</v>
      </c>
      <c r="Q36" s="85">
        <f t="shared" si="3"/>
        <v>22.516149541153936</v>
      </c>
      <c r="R36" s="85">
        <f t="shared" si="4"/>
        <v>24.042973422899642</v>
      </c>
      <c r="S36" s="84">
        <f t="shared" si="5"/>
        <v>-1.526823881745706</v>
      </c>
      <c r="T36" s="86"/>
      <c r="U36" s="86"/>
      <c r="V36" s="86"/>
    </row>
    <row r="37" spans="1:22" x14ac:dyDescent="0.35">
      <c r="B37" s="86" t="s">
        <v>170</v>
      </c>
      <c r="C37" s="89">
        <v>301.4821</v>
      </c>
      <c r="D37" s="89">
        <v>284.47190000000001</v>
      </c>
      <c r="E37" s="20">
        <v>0.91995425957690091</v>
      </c>
      <c r="F37" s="88">
        <v>12.63</v>
      </c>
      <c r="G37" s="86"/>
      <c r="H37" s="86"/>
      <c r="I37" s="83"/>
      <c r="J37" s="86" t="s">
        <v>170</v>
      </c>
      <c r="K37" s="87">
        <f t="shared" si="0"/>
        <v>327.71422802983227</v>
      </c>
      <c r="L37" s="87">
        <f t="shared" si="1"/>
        <v>309.22396090739596</v>
      </c>
      <c r="M37" s="84">
        <f t="shared" si="2"/>
        <v>18.490267122436308</v>
      </c>
      <c r="N37" s="86"/>
      <c r="O37" s="83"/>
      <c r="P37" s="86" t="s">
        <v>170</v>
      </c>
      <c r="Q37" s="85">
        <f t="shared" si="3"/>
        <v>23.870316706254947</v>
      </c>
      <c r="R37" s="85">
        <f t="shared" si="4"/>
        <v>22.523507521773553</v>
      </c>
      <c r="S37" s="84">
        <f t="shared" si="5"/>
        <v>1.3468091844813941</v>
      </c>
      <c r="T37" s="86"/>
      <c r="U37" s="86"/>
      <c r="V37" s="86"/>
    </row>
    <row r="38" spans="1:22" x14ac:dyDescent="0.35">
      <c r="B38" s="86" t="s">
        <v>171</v>
      </c>
      <c r="C38" s="89">
        <v>337.30500000000001</v>
      </c>
      <c r="D38" s="89">
        <v>336.78199999999998</v>
      </c>
      <c r="E38" s="20">
        <v>0.93138936535162953</v>
      </c>
      <c r="F38" s="88">
        <v>14.0944</v>
      </c>
      <c r="G38" s="86"/>
      <c r="H38" s="86"/>
      <c r="I38" s="83"/>
      <c r="J38" s="86" t="s">
        <v>171</v>
      </c>
      <c r="K38" s="87">
        <f t="shared" si="0"/>
        <v>362.15251381215467</v>
      </c>
      <c r="L38" s="87">
        <f t="shared" si="1"/>
        <v>361.59098710865561</v>
      </c>
      <c r="M38" s="84">
        <f t="shared" si="2"/>
        <v>0.5615267034990552</v>
      </c>
      <c r="N38" s="86"/>
      <c r="O38" s="83"/>
      <c r="P38" s="86" t="s">
        <v>171</v>
      </c>
      <c r="Q38" s="85">
        <f t="shared" si="3"/>
        <v>23.931845271881031</v>
      </c>
      <c r="R38" s="85">
        <f t="shared" si="4"/>
        <v>23.894738335792937</v>
      </c>
      <c r="S38" s="84">
        <f t="shared" si="5"/>
        <v>3.7106936088093789E-2</v>
      </c>
      <c r="T38" s="86"/>
      <c r="U38" s="86"/>
      <c r="V38" s="86"/>
    </row>
    <row r="39" spans="1:22" x14ac:dyDescent="0.35">
      <c r="B39" s="86" t="s">
        <v>172</v>
      </c>
      <c r="C39" s="89">
        <v>343.05200000000002</v>
      </c>
      <c r="D39" s="89">
        <v>326.88400000000001</v>
      </c>
      <c r="E39" s="20">
        <v>0.93424814179531157</v>
      </c>
      <c r="F39" s="88">
        <v>14.26</v>
      </c>
      <c r="G39" s="86"/>
      <c r="H39" s="86"/>
      <c r="I39" s="83"/>
      <c r="J39" s="86" t="s">
        <v>172</v>
      </c>
      <c r="K39" s="87">
        <f t="shared" si="0"/>
        <v>367.19580660954716</v>
      </c>
      <c r="L39" s="87">
        <f t="shared" si="1"/>
        <v>349.88991187270506</v>
      </c>
      <c r="M39" s="84">
        <f t="shared" si="2"/>
        <v>17.305894736842106</v>
      </c>
      <c r="N39" s="86"/>
      <c r="O39" s="83"/>
      <c r="P39" s="86" t="s">
        <v>172</v>
      </c>
      <c r="Q39" s="85">
        <f t="shared" si="3"/>
        <v>24.05694249649369</v>
      </c>
      <c r="R39" s="85">
        <f t="shared" si="4"/>
        <v>22.923141654978963</v>
      </c>
      <c r="S39" s="84">
        <f t="shared" si="5"/>
        <v>1.1338008415147272</v>
      </c>
      <c r="T39" s="86"/>
      <c r="U39" s="86"/>
      <c r="V39" s="86"/>
    </row>
    <row r="40" spans="1:22" x14ac:dyDescent="0.35">
      <c r="A40" s="83">
        <v>2019</v>
      </c>
      <c r="B40" s="86" t="s">
        <v>169</v>
      </c>
      <c r="C40" s="89">
        <v>292.12299999999999</v>
      </c>
      <c r="D40" s="89">
        <v>296.31799999999998</v>
      </c>
      <c r="E40" s="20">
        <v>0.94425385934819894</v>
      </c>
      <c r="F40" s="88">
        <v>14.01</v>
      </c>
      <c r="G40" s="86"/>
      <c r="H40" s="86"/>
      <c r="I40" s="86">
        <v>2019</v>
      </c>
      <c r="J40" s="86" t="s">
        <v>169</v>
      </c>
      <c r="K40" s="87">
        <f t="shared" ref="K40:K47" si="6">+C40/E40</f>
        <v>309.36913533151682</v>
      </c>
      <c r="L40" s="87">
        <f t="shared" ref="L40:L47" si="7">+D40/E40</f>
        <v>313.81179654859216</v>
      </c>
      <c r="M40" s="84">
        <f t="shared" si="2"/>
        <v>-4.4426612170753401</v>
      </c>
      <c r="N40" s="86"/>
      <c r="O40" s="83">
        <v>2019</v>
      </c>
      <c r="P40" s="86" t="s">
        <v>169</v>
      </c>
      <c r="Q40" s="85">
        <f t="shared" si="3"/>
        <v>20.851034975017843</v>
      </c>
      <c r="R40" s="85">
        <f t="shared" si="4"/>
        <v>21.150463954318344</v>
      </c>
      <c r="S40" s="84">
        <f t="shared" si="5"/>
        <v>-0.29942897930050094</v>
      </c>
      <c r="T40" s="86"/>
      <c r="U40" s="86"/>
      <c r="V40" s="86"/>
    </row>
    <row r="41" spans="1:22" x14ac:dyDescent="0.35">
      <c r="A41" s="83"/>
      <c r="B41" s="86" t="s">
        <v>170</v>
      </c>
      <c r="C41" s="89">
        <f>+(103640+111785+109196)/1000</f>
        <v>324.62099999999998</v>
      </c>
      <c r="D41" s="89">
        <f>+(107165+110089+103655)/1000</f>
        <v>320.90899999999999</v>
      </c>
      <c r="E41" s="20">
        <v>0.96083476272155521</v>
      </c>
      <c r="F41" s="88">
        <v>14.386666666666665</v>
      </c>
      <c r="G41" s="65"/>
      <c r="H41" s="86"/>
      <c r="I41" s="83"/>
      <c r="J41" s="86" t="s">
        <v>170</v>
      </c>
      <c r="K41" s="87">
        <f t="shared" si="6"/>
        <v>337.85309669741144</v>
      </c>
      <c r="L41" s="87">
        <f t="shared" si="7"/>
        <v>333.98978934840818</v>
      </c>
      <c r="M41" s="84">
        <f t="shared" si="2"/>
        <v>3.8633073490032643</v>
      </c>
      <c r="N41" s="86"/>
      <c r="O41" s="83"/>
      <c r="P41" s="86" t="s">
        <v>170</v>
      </c>
      <c r="Q41" s="85">
        <f t="shared" si="3"/>
        <v>22.564017608897128</v>
      </c>
      <c r="R41" s="85">
        <f t="shared" si="4"/>
        <v>22.306000926784062</v>
      </c>
      <c r="S41" s="84">
        <f t="shared" si="5"/>
        <v>0.25801668211306605</v>
      </c>
      <c r="T41" s="86"/>
      <c r="U41" s="86"/>
      <c r="V41" s="86"/>
    </row>
    <row r="42" spans="1:22" x14ac:dyDescent="0.35">
      <c r="B42" s="86" t="s">
        <v>171</v>
      </c>
      <c r="C42" s="89">
        <f>+(112561+119746+110439)/1000</f>
        <v>342.74599999999998</v>
      </c>
      <c r="D42" s="89">
        <f>+(116286+115204+105275)/1000</f>
        <v>336.76499999999999</v>
      </c>
      <c r="E42" s="20">
        <v>0.96998284734133766</v>
      </c>
      <c r="F42" s="88">
        <v>14.68</v>
      </c>
      <c r="G42" s="65"/>
      <c r="I42" s="15"/>
      <c r="J42" s="86" t="s">
        <v>171</v>
      </c>
      <c r="K42" s="87">
        <f t="shared" si="6"/>
        <v>353.35264014146782</v>
      </c>
      <c r="L42" s="87">
        <f t="shared" si="7"/>
        <v>347.18655172413798</v>
      </c>
      <c r="M42" s="84">
        <f t="shared" si="2"/>
        <v>6.1660884173298314</v>
      </c>
      <c r="P42" s="86" t="s">
        <v>171</v>
      </c>
      <c r="Q42" s="85">
        <f t="shared" si="3"/>
        <v>23.347820163487736</v>
      </c>
      <c r="R42" s="85">
        <f t="shared" si="4"/>
        <v>22.940395095367847</v>
      </c>
      <c r="S42" s="84">
        <f t="shared" si="5"/>
        <v>0.40742506811988832</v>
      </c>
    </row>
    <row r="43" spans="1:22" x14ac:dyDescent="0.35">
      <c r="B43" s="86" t="s">
        <v>172</v>
      </c>
      <c r="C43" s="89">
        <f>+(122843+116330+103313)/1000</f>
        <v>342.48599999999999</v>
      </c>
      <c r="D43" s="89">
        <f>+(120091+110686+88467)/1000</f>
        <v>319.24400000000003</v>
      </c>
      <c r="E43" s="20">
        <v>0.97398513436249279</v>
      </c>
      <c r="F43" s="88">
        <v>14.72</v>
      </c>
      <c r="G43" s="65"/>
      <c r="I43" s="15"/>
      <c r="J43" s="86" t="s">
        <v>172</v>
      </c>
      <c r="K43" s="87">
        <f t="shared" si="6"/>
        <v>351.63370355151159</v>
      </c>
      <c r="L43" s="87">
        <f t="shared" si="7"/>
        <v>327.7709163486939</v>
      </c>
      <c r="M43" s="84">
        <f t="shared" si="2"/>
        <v>23.862787202817685</v>
      </c>
      <c r="P43" s="86" t="s">
        <v>172</v>
      </c>
      <c r="Q43" s="85">
        <f t="shared" si="3"/>
        <v>23.266711956521739</v>
      </c>
      <c r="R43" s="85">
        <f t="shared" si="4"/>
        <v>21.687771739130437</v>
      </c>
      <c r="S43" s="84">
        <f t="shared" si="5"/>
        <v>1.5789402173913025</v>
      </c>
    </row>
    <row r="44" spans="1:22" x14ac:dyDescent="0.35">
      <c r="A44">
        <v>2020</v>
      </c>
      <c r="B44" s="86" t="s">
        <v>169</v>
      </c>
      <c r="C44" s="89">
        <v>328.50299999999999</v>
      </c>
      <c r="D44" s="89">
        <v>293.26499999999999</v>
      </c>
      <c r="E44" s="20">
        <v>0.9859919954259575</v>
      </c>
      <c r="F44" s="88">
        <v>15.34</v>
      </c>
      <c r="G44" s="65"/>
      <c r="I44">
        <v>2020</v>
      </c>
      <c r="J44" s="86" t="s">
        <v>169</v>
      </c>
      <c r="K44" s="87">
        <f t="shared" si="6"/>
        <v>333.17004755001454</v>
      </c>
      <c r="L44" s="87">
        <f t="shared" si="7"/>
        <v>297.43142070165271</v>
      </c>
      <c r="M44" s="84">
        <f t="shared" si="2"/>
        <v>35.738626848361832</v>
      </c>
      <c r="O44">
        <v>2020</v>
      </c>
      <c r="P44" s="86" t="s">
        <v>169</v>
      </c>
      <c r="Q44" s="85">
        <f t="shared" si="3"/>
        <v>21.414797913950455</v>
      </c>
      <c r="R44" s="85">
        <f t="shared" si="4"/>
        <v>19.11766623207301</v>
      </c>
      <c r="S44" s="84">
        <f t="shared" si="5"/>
        <v>2.2971316818774454</v>
      </c>
    </row>
    <row r="45" spans="1:22" x14ac:dyDescent="0.35">
      <c r="B45" s="86" t="s">
        <v>170</v>
      </c>
      <c r="C45" s="89">
        <v>273.863</v>
      </c>
      <c r="D45" s="89">
        <v>243.488</v>
      </c>
      <c r="E45" s="20">
        <v>0.98399085191538027</v>
      </c>
      <c r="F45" s="88">
        <v>17.95</v>
      </c>
      <c r="G45" s="65"/>
      <c r="J45" s="86" t="s">
        <v>170</v>
      </c>
      <c r="K45" s="87">
        <f t="shared" si="6"/>
        <v>278.31864439279485</v>
      </c>
      <c r="L45" s="87">
        <f t="shared" si="7"/>
        <v>247.44945496804183</v>
      </c>
      <c r="M45" s="84">
        <f t="shared" si="2"/>
        <v>30.869189424753017</v>
      </c>
      <c r="P45" s="86" t="s">
        <v>170</v>
      </c>
      <c r="Q45" s="85">
        <f t="shared" si="3"/>
        <v>15.25699164345404</v>
      </c>
      <c r="R45" s="85">
        <f t="shared" si="4"/>
        <v>13.564791086350976</v>
      </c>
      <c r="S45" s="84">
        <f t="shared" si="5"/>
        <v>1.6922005571030638</v>
      </c>
    </row>
    <row r="46" spans="1:22" x14ac:dyDescent="0.35">
      <c r="B46" s="86" t="s">
        <v>171</v>
      </c>
      <c r="C46" s="89">
        <v>387.89499999999998</v>
      </c>
      <c r="D46" s="89">
        <v>278.45</v>
      </c>
      <c r="E46" s="20">
        <v>1</v>
      </c>
      <c r="F46" s="88">
        <v>19.11</v>
      </c>
      <c r="J46" s="86" t="s">
        <v>171</v>
      </c>
      <c r="K46" s="87">
        <f t="shared" si="6"/>
        <v>387.89499999999998</v>
      </c>
      <c r="L46" s="87">
        <f t="shared" si="7"/>
        <v>278.45</v>
      </c>
      <c r="M46" s="84">
        <f t="shared" si="2"/>
        <v>109.44499999999999</v>
      </c>
      <c r="P46" s="86" t="s">
        <v>171</v>
      </c>
      <c r="Q46" s="85">
        <f t="shared" si="3"/>
        <v>20.298011512297226</v>
      </c>
      <c r="R46" s="85">
        <f t="shared" si="4"/>
        <v>14.570905285190999</v>
      </c>
      <c r="S46" s="84">
        <f t="shared" si="5"/>
        <v>5.7271062271062263</v>
      </c>
    </row>
    <row r="47" spans="1:22" x14ac:dyDescent="0.35">
      <c r="B47" s="86" t="s">
        <v>172</v>
      </c>
      <c r="C47" s="89">
        <v>412.05200000000002</v>
      </c>
      <c r="D47" s="89">
        <v>308.78199999999998</v>
      </c>
      <c r="E47" s="20">
        <v>1</v>
      </c>
      <c r="F47" s="88">
        <v>15.66</v>
      </c>
      <c r="J47" s="86" t="s">
        <v>172</v>
      </c>
      <c r="K47" s="87">
        <f t="shared" si="6"/>
        <v>412.05200000000002</v>
      </c>
      <c r="L47" s="87">
        <f t="shared" si="7"/>
        <v>308.78199999999998</v>
      </c>
      <c r="M47" s="84">
        <f t="shared" si="2"/>
        <v>103.27000000000004</v>
      </c>
      <c r="P47" s="86" t="s">
        <v>172</v>
      </c>
      <c r="Q47" s="85">
        <f t="shared" si="3"/>
        <v>26.312388250319287</v>
      </c>
      <c r="R47" s="85">
        <f t="shared" si="4"/>
        <v>19.71787994891443</v>
      </c>
      <c r="S47" s="84">
        <f t="shared" si="5"/>
        <v>6.5945083014048578</v>
      </c>
    </row>
    <row r="49" spans="1:1" x14ac:dyDescent="0.35">
      <c r="A49" s="83" t="s">
        <v>192</v>
      </c>
    </row>
    <row r="84" spans="3:3" x14ac:dyDescent="0.35">
      <c r="C84" s="20"/>
    </row>
    <row r="85" spans="3:3" x14ac:dyDescent="0.35">
      <c r="C85" s="20"/>
    </row>
    <row r="86" spans="3:3" x14ac:dyDescent="0.35">
      <c r="C86" s="20"/>
    </row>
    <row r="87" spans="3:3" x14ac:dyDescent="0.35">
      <c r="C87" s="20"/>
    </row>
    <row r="88" spans="3:3" x14ac:dyDescent="0.35">
      <c r="C88" s="20"/>
    </row>
    <row r="89" spans="3:3" x14ac:dyDescent="0.35">
      <c r="C89" s="20"/>
    </row>
    <row r="90" spans="3:3" x14ac:dyDescent="0.35">
      <c r="C90" s="20"/>
    </row>
    <row r="91" spans="3:3" x14ac:dyDescent="0.35">
      <c r="C91" s="20"/>
    </row>
    <row r="92" spans="3:3" x14ac:dyDescent="0.35">
      <c r="C92" s="20"/>
    </row>
    <row r="93" spans="3:3" x14ac:dyDescent="0.35">
      <c r="C93" s="20"/>
    </row>
    <row r="94" spans="3:3" x14ac:dyDescent="0.35">
      <c r="C94" s="20"/>
    </row>
    <row r="95" spans="3:3" x14ac:dyDescent="0.35">
      <c r="C95" s="20"/>
    </row>
    <row r="96" spans="3:3" x14ac:dyDescent="0.35">
      <c r="C96" s="20"/>
    </row>
    <row r="97" spans="3:3" x14ac:dyDescent="0.35">
      <c r="C97" s="20"/>
    </row>
    <row r="98" spans="3:3" x14ac:dyDescent="0.35">
      <c r="C98" s="20"/>
    </row>
    <row r="99" spans="3:3" x14ac:dyDescent="0.35">
      <c r="C99" s="20"/>
    </row>
    <row r="100" spans="3:3" x14ac:dyDescent="0.35">
      <c r="C100" s="20"/>
    </row>
    <row r="101" spans="3:3" x14ac:dyDescent="0.35">
      <c r="C101" s="20"/>
    </row>
    <row r="102" spans="3:3" x14ac:dyDescent="0.35">
      <c r="C102" s="20"/>
    </row>
    <row r="103" spans="3:3" x14ac:dyDescent="0.35">
      <c r="C103" s="20"/>
    </row>
    <row r="104" spans="3:3" x14ac:dyDescent="0.35">
      <c r="C104" s="20"/>
    </row>
    <row r="105" spans="3:3" x14ac:dyDescent="0.35">
      <c r="C105" s="20"/>
    </row>
    <row r="106" spans="3:3" x14ac:dyDescent="0.35">
      <c r="C106" s="20"/>
    </row>
    <row r="107" spans="3:3" x14ac:dyDescent="0.35">
      <c r="C107" s="20"/>
    </row>
    <row r="108" spans="3:3" x14ac:dyDescent="0.35">
      <c r="C108" s="20"/>
    </row>
    <row r="109" spans="3:3" x14ac:dyDescent="0.35">
      <c r="C109" s="20"/>
    </row>
    <row r="110" spans="3:3" x14ac:dyDescent="0.35">
      <c r="C110" s="20"/>
    </row>
    <row r="111" spans="3:3" x14ac:dyDescent="0.35">
      <c r="C111" s="20"/>
    </row>
    <row r="112" spans="3:3" x14ac:dyDescent="0.35">
      <c r="C112" s="20"/>
    </row>
    <row r="113" spans="3:3" x14ac:dyDescent="0.35">
      <c r="C113" s="20"/>
    </row>
    <row r="114" spans="3:3" x14ac:dyDescent="0.35">
      <c r="C114" s="20"/>
    </row>
    <row r="115" spans="3:3" x14ac:dyDescent="0.35">
      <c r="C115" s="20"/>
    </row>
    <row r="116" spans="3:3" x14ac:dyDescent="0.35">
      <c r="C116" s="20"/>
    </row>
    <row r="117" spans="3:3" x14ac:dyDescent="0.35">
      <c r="C117" s="20"/>
    </row>
    <row r="118" spans="3:3" x14ac:dyDescent="0.35">
      <c r="C118" s="20"/>
    </row>
    <row r="119" spans="3:3" x14ac:dyDescent="0.35">
      <c r="C119" s="20"/>
    </row>
    <row r="120" spans="3:3" x14ac:dyDescent="0.35">
      <c r="C120" s="20"/>
    </row>
    <row r="121" spans="3:3" x14ac:dyDescent="0.35">
      <c r="C121" s="20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5"/>
  <sheetViews>
    <sheetView zoomScale="50" zoomScaleNormal="5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4.5" x14ac:dyDescent="0.35"/>
  <sheetData>
    <row r="1" spans="1:46" ht="26" x14ac:dyDescent="0.6">
      <c r="A1" s="1" t="s">
        <v>204</v>
      </c>
    </row>
    <row r="2" spans="1:46" x14ac:dyDescent="0.35">
      <c r="A2" t="s">
        <v>203</v>
      </c>
    </row>
    <row r="3" spans="1:46" ht="26" x14ac:dyDescent="0.6">
      <c r="A3" s="1"/>
    </row>
    <row r="4" spans="1:46" x14ac:dyDescent="0.35">
      <c r="D4" t="s">
        <v>195</v>
      </c>
    </row>
    <row r="5" spans="1:46" x14ac:dyDescent="0.35">
      <c r="D5" t="s">
        <v>14</v>
      </c>
    </row>
    <row r="6" spans="1:46" x14ac:dyDescent="0.35">
      <c r="A6" t="s">
        <v>14</v>
      </c>
      <c r="B6">
        <v>2018</v>
      </c>
      <c r="C6" t="s">
        <v>172</v>
      </c>
      <c r="D6" s="40">
        <v>17.818285373317018</v>
      </c>
    </row>
    <row r="7" spans="1:46" x14ac:dyDescent="0.35">
      <c r="B7">
        <v>2019</v>
      </c>
      <c r="C7" t="s">
        <v>169</v>
      </c>
      <c r="D7" s="40">
        <v>18.56449918256131</v>
      </c>
    </row>
    <row r="8" spans="1:46" x14ac:dyDescent="0.35">
      <c r="C8" t="s">
        <v>170</v>
      </c>
      <c r="D8" s="40">
        <v>21.422934305266292</v>
      </c>
    </row>
    <row r="9" spans="1:46" x14ac:dyDescent="0.35">
      <c r="C9" t="s">
        <v>171</v>
      </c>
      <c r="D9" s="40">
        <v>29.455778603006198</v>
      </c>
    </row>
    <row r="10" spans="1:46" x14ac:dyDescent="0.35">
      <c r="C10" t="s">
        <v>172</v>
      </c>
      <c r="D10" s="40">
        <v>17.558070854123866</v>
      </c>
    </row>
    <row r="11" spans="1:46" x14ac:dyDescent="0.35">
      <c r="B11">
        <v>2020</v>
      </c>
      <c r="C11" t="s">
        <v>169</v>
      </c>
      <c r="D11" s="4">
        <v>22.374623832995077</v>
      </c>
    </row>
    <row r="12" spans="1:46" x14ac:dyDescent="0.35">
      <c r="C12" t="s">
        <v>170</v>
      </c>
      <c r="D12" s="4">
        <v>29.549461708309117</v>
      </c>
    </row>
    <row r="13" spans="1:46" x14ac:dyDescent="0.35">
      <c r="C13" t="s">
        <v>171</v>
      </c>
      <c r="D13" s="4">
        <v>35.2577</v>
      </c>
    </row>
    <row r="14" spans="1:46" x14ac:dyDescent="0.35">
      <c r="C14" t="s">
        <v>172</v>
      </c>
      <c r="D14" s="4">
        <v>19.664900000000003</v>
      </c>
      <c r="G14" s="96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</row>
    <row r="15" spans="1:46" x14ac:dyDescent="0.35">
      <c r="A15" t="s">
        <v>201</v>
      </c>
      <c r="B15" t="s">
        <v>201</v>
      </c>
      <c r="C15" t="s">
        <v>201</v>
      </c>
    </row>
    <row r="16" spans="1:46" x14ac:dyDescent="0.35">
      <c r="A16" t="s">
        <v>13</v>
      </c>
      <c r="B16">
        <v>2018</v>
      </c>
      <c r="C16" t="s">
        <v>172</v>
      </c>
      <c r="D16" s="4">
        <v>154.79698971848225</v>
      </c>
      <c r="E16" s="4"/>
    </row>
    <row r="17" spans="1:7" x14ac:dyDescent="0.35">
      <c r="B17">
        <v>2019</v>
      </c>
      <c r="C17" t="s">
        <v>169</v>
      </c>
      <c r="D17" s="4">
        <v>131.97414950045413</v>
      </c>
      <c r="E17" s="4"/>
    </row>
    <row r="18" spans="1:7" x14ac:dyDescent="0.35">
      <c r="C18" t="s">
        <v>170</v>
      </c>
      <c r="D18" s="4">
        <v>140.01294001785183</v>
      </c>
      <c r="E18" s="4"/>
    </row>
    <row r="19" spans="1:7" x14ac:dyDescent="0.35">
      <c r="C19" t="s">
        <v>171</v>
      </c>
      <c r="D19" s="4">
        <v>139.83546242263489</v>
      </c>
      <c r="E19" s="4"/>
    </row>
    <row r="20" spans="1:7" x14ac:dyDescent="0.35">
      <c r="C20" t="s">
        <v>172</v>
      </c>
      <c r="D20" s="4">
        <v>157.65096877017905</v>
      </c>
      <c r="G20" s="4"/>
    </row>
    <row r="21" spans="1:7" x14ac:dyDescent="0.35">
      <c r="B21">
        <v>2020</v>
      </c>
      <c r="C21" t="s">
        <v>169</v>
      </c>
      <c r="D21" s="4">
        <v>153.33501762829809</v>
      </c>
    </row>
    <row r="22" spans="1:7" x14ac:dyDescent="0.35">
      <c r="C22" t="s">
        <v>170</v>
      </c>
      <c r="D22" s="4">
        <v>132.48466664729807</v>
      </c>
    </row>
    <row r="23" spans="1:7" x14ac:dyDescent="0.35">
      <c r="C23" t="s">
        <v>171</v>
      </c>
      <c r="D23" s="4">
        <v>178.37290000000002</v>
      </c>
    </row>
    <row r="24" spans="1:7" x14ac:dyDescent="0.35">
      <c r="C24" t="s">
        <v>172</v>
      </c>
      <c r="D24" s="4">
        <v>197.61829999999998</v>
      </c>
    </row>
    <row r="25" spans="1:7" x14ac:dyDescent="0.35">
      <c r="A25" t="s">
        <v>201</v>
      </c>
      <c r="B25" t="s">
        <v>201</v>
      </c>
      <c r="C25" t="s">
        <v>201</v>
      </c>
    </row>
    <row r="26" spans="1:7" x14ac:dyDescent="0.35">
      <c r="A26" t="s">
        <v>105</v>
      </c>
      <c r="B26">
        <v>2018</v>
      </c>
      <c r="C26" t="s">
        <v>172</v>
      </c>
      <c r="D26" s="4">
        <v>194.10977864137087</v>
      </c>
    </row>
    <row r="27" spans="1:7" x14ac:dyDescent="0.35">
      <c r="B27">
        <v>2019</v>
      </c>
      <c r="C27" t="s">
        <v>169</v>
      </c>
      <c r="D27" s="4">
        <v>158.50112606721163</v>
      </c>
    </row>
    <row r="28" spans="1:7" x14ac:dyDescent="0.35">
      <c r="C28" t="s">
        <v>170</v>
      </c>
      <c r="D28" s="4">
        <v>176.41701422195774</v>
      </c>
    </row>
    <row r="29" spans="1:7" x14ac:dyDescent="0.35">
      <c r="C29" t="s">
        <v>171</v>
      </c>
      <c r="D29" s="4">
        <v>183.87830309460659</v>
      </c>
    </row>
    <row r="30" spans="1:7" x14ac:dyDescent="0.35">
      <c r="C30" t="s">
        <v>172</v>
      </c>
      <c r="D30" s="4">
        <v>175.96264455532727</v>
      </c>
    </row>
    <row r="31" spans="1:7" x14ac:dyDescent="0.35">
      <c r="B31">
        <v>2020</v>
      </c>
      <c r="C31" t="s">
        <v>169</v>
      </c>
      <c r="D31" s="4">
        <v>157.0857580168165</v>
      </c>
    </row>
    <row r="32" spans="1:7" x14ac:dyDescent="0.35">
      <c r="C32" t="s">
        <v>170</v>
      </c>
      <c r="D32" s="4">
        <v>115.38206862289367</v>
      </c>
    </row>
    <row r="33" spans="1:6" x14ac:dyDescent="0.35">
      <c r="C33" t="s">
        <v>171</v>
      </c>
      <c r="D33" s="4">
        <v>174.26429999999996</v>
      </c>
    </row>
    <row r="34" spans="1:6" x14ac:dyDescent="0.35">
      <c r="C34" t="s">
        <v>172</v>
      </c>
      <c r="D34" s="4">
        <v>194.7689</v>
      </c>
    </row>
    <row r="37" spans="1:6" x14ac:dyDescent="0.35">
      <c r="A37" t="s">
        <v>14</v>
      </c>
      <c r="B37">
        <v>2018</v>
      </c>
      <c r="C37" t="s">
        <v>172</v>
      </c>
      <c r="D37" s="67">
        <v>11.318513280293757</v>
      </c>
    </row>
    <row r="38" spans="1:6" x14ac:dyDescent="0.35">
      <c r="B38">
        <v>2019</v>
      </c>
      <c r="C38" t="s">
        <v>169</v>
      </c>
      <c r="D38" s="40">
        <v>10.49558855585831</v>
      </c>
    </row>
    <row r="39" spans="1:6" x14ac:dyDescent="0.35">
      <c r="C39" t="s">
        <v>170</v>
      </c>
      <c r="D39" s="40">
        <v>11.740416185659031</v>
      </c>
    </row>
    <row r="40" spans="1:6" x14ac:dyDescent="0.35">
      <c r="C40" t="s">
        <v>171</v>
      </c>
      <c r="D40" s="67">
        <v>13.77374871794872</v>
      </c>
      <c r="F40" s="67">
        <v>0</v>
      </c>
    </row>
    <row r="41" spans="1:6" x14ac:dyDescent="0.35">
      <c r="C41" t="s">
        <v>172</v>
      </c>
      <c r="D41" s="67">
        <v>10.959715526856472</v>
      </c>
    </row>
    <row r="42" spans="1:6" x14ac:dyDescent="0.35">
      <c r="B42">
        <v>2020</v>
      </c>
      <c r="C42" t="s">
        <v>169</v>
      </c>
      <c r="D42" s="40">
        <v>11.204959118585098</v>
      </c>
    </row>
    <row r="43" spans="1:6" x14ac:dyDescent="0.35">
      <c r="C43" t="s">
        <v>170</v>
      </c>
      <c r="D43" s="40">
        <v>12.523388785589772</v>
      </c>
    </row>
    <row r="44" spans="1:6" x14ac:dyDescent="0.35">
      <c r="C44" t="s">
        <v>171</v>
      </c>
      <c r="D44" s="67">
        <v>13.309299999999999</v>
      </c>
    </row>
    <row r="45" spans="1:6" x14ac:dyDescent="0.35">
      <c r="C45" t="s">
        <v>172</v>
      </c>
      <c r="D45" s="4">
        <v>11.3504</v>
      </c>
    </row>
    <row r="46" spans="1:6" x14ac:dyDescent="0.35">
      <c r="A46" t="s">
        <v>201</v>
      </c>
      <c r="B46" t="s">
        <v>201</v>
      </c>
      <c r="C46" t="s">
        <v>201</v>
      </c>
    </row>
    <row r="47" spans="1:6" x14ac:dyDescent="0.35">
      <c r="A47" t="s">
        <v>202</v>
      </c>
      <c r="B47">
        <v>2018</v>
      </c>
      <c r="C47" t="s">
        <v>172</v>
      </c>
      <c r="D47" s="4">
        <v>72.376595654834759</v>
      </c>
    </row>
    <row r="48" spans="1:6" x14ac:dyDescent="0.35">
      <c r="B48">
        <v>2019</v>
      </c>
      <c r="C48" t="s">
        <v>169</v>
      </c>
      <c r="D48" s="4">
        <v>58.406962761126245</v>
      </c>
    </row>
    <row r="49" spans="1:7" x14ac:dyDescent="0.35">
      <c r="C49" t="s">
        <v>170</v>
      </c>
      <c r="D49" s="4">
        <v>67.960488664088075</v>
      </c>
    </row>
    <row r="50" spans="1:7" x14ac:dyDescent="0.35">
      <c r="C50" t="s">
        <v>171</v>
      </c>
      <c r="D50" s="4">
        <v>53.086608841732989</v>
      </c>
    </row>
    <row r="51" spans="1:7" x14ac:dyDescent="0.35">
      <c r="C51" t="s">
        <v>172</v>
      </c>
      <c r="D51" s="4">
        <v>66.558202700322866</v>
      </c>
    </row>
    <row r="52" spans="1:7" x14ac:dyDescent="0.35">
      <c r="B52">
        <v>2020</v>
      </c>
      <c r="C52" t="s">
        <v>169</v>
      </c>
      <c r="D52" s="4">
        <v>58.78840829225863</v>
      </c>
    </row>
    <row r="53" spans="1:7" x14ac:dyDescent="0.35">
      <c r="C53" t="s">
        <v>170</v>
      </c>
      <c r="D53" s="4">
        <v>35.599314700755372</v>
      </c>
    </row>
    <row r="54" spans="1:7" x14ac:dyDescent="0.35">
      <c r="C54" t="s">
        <v>171</v>
      </c>
      <c r="D54" s="4">
        <v>43.170400000000008</v>
      </c>
    </row>
    <row r="55" spans="1:7" x14ac:dyDescent="0.35">
      <c r="C55" t="s">
        <v>172</v>
      </c>
      <c r="D55" s="4">
        <v>41.867400000000004</v>
      </c>
    </row>
    <row r="56" spans="1:7" x14ac:dyDescent="0.35">
      <c r="A56" t="s">
        <v>201</v>
      </c>
      <c r="B56" t="s">
        <v>201</v>
      </c>
      <c r="C56" t="s">
        <v>201</v>
      </c>
    </row>
    <row r="57" spans="1:7" x14ac:dyDescent="0.35">
      <c r="A57" t="s">
        <v>105</v>
      </c>
      <c r="B57">
        <v>2018</v>
      </c>
      <c r="C57" t="s">
        <v>172</v>
      </c>
      <c r="D57" s="4">
        <v>266.22905507955937</v>
      </c>
    </row>
    <row r="58" spans="1:7" x14ac:dyDescent="0.35">
      <c r="B58">
        <v>2019</v>
      </c>
      <c r="C58" t="s">
        <v>169</v>
      </c>
      <c r="D58" s="4">
        <v>244.89590136239784</v>
      </c>
    </row>
    <row r="59" spans="1:7" x14ac:dyDescent="0.35">
      <c r="C59" t="s">
        <v>170</v>
      </c>
      <c r="D59" s="4">
        <v>254.28919672716455</v>
      </c>
    </row>
    <row r="60" spans="1:7" x14ac:dyDescent="0.35">
      <c r="C60" t="s">
        <v>171</v>
      </c>
      <c r="D60" s="4">
        <v>280.79372820512833</v>
      </c>
    </row>
    <row r="61" spans="1:7" x14ac:dyDescent="0.35">
      <c r="C61" t="s">
        <v>172</v>
      </c>
      <c r="D61" s="4">
        <v>250.76809838567652</v>
      </c>
      <c r="G61">
        <v>0</v>
      </c>
    </row>
    <row r="62" spans="1:7" x14ac:dyDescent="0.35">
      <c r="B62">
        <v>2020</v>
      </c>
      <c r="C62" t="s">
        <v>169</v>
      </c>
      <c r="D62" s="4">
        <v>227.37791081472898</v>
      </c>
    </row>
    <row r="63" spans="1:7" x14ac:dyDescent="0.35">
      <c r="C63" t="s">
        <v>170</v>
      </c>
      <c r="D63" s="4">
        <v>199.33803207437538</v>
      </c>
    </row>
    <row r="64" spans="1:7" x14ac:dyDescent="0.35">
      <c r="C64" t="s">
        <v>171</v>
      </c>
      <c r="D64" s="4">
        <v>222.02030000000002</v>
      </c>
    </row>
    <row r="65" spans="3:4" x14ac:dyDescent="0.35">
      <c r="C65" t="s">
        <v>172</v>
      </c>
      <c r="D65" s="4">
        <v>255.5641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49" zoomScaleNormal="49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3" sqref="P3"/>
    </sheetView>
  </sheetViews>
  <sheetFormatPr defaultRowHeight="14.5" x14ac:dyDescent="0.35"/>
  <cols>
    <col min="2" max="5" width="10.1796875" bestFit="1" customWidth="1"/>
  </cols>
  <sheetData>
    <row r="1" spans="1:6" ht="26" x14ac:dyDescent="0.6">
      <c r="A1" s="1" t="s">
        <v>218</v>
      </c>
    </row>
    <row r="2" spans="1:6" x14ac:dyDescent="0.35">
      <c r="A2" t="s">
        <v>203</v>
      </c>
    </row>
    <row r="4" spans="1:6" x14ac:dyDescent="0.35">
      <c r="A4" t="s">
        <v>195</v>
      </c>
    </row>
    <row r="5" spans="1:6" x14ac:dyDescent="0.35">
      <c r="B5" t="s">
        <v>217</v>
      </c>
      <c r="C5" t="s">
        <v>216</v>
      </c>
      <c r="D5" t="s">
        <v>215</v>
      </c>
      <c r="E5" t="s">
        <v>214</v>
      </c>
      <c r="F5" t="s">
        <v>213</v>
      </c>
    </row>
    <row r="6" spans="1:6" x14ac:dyDescent="0.35">
      <c r="A6" t="s">
        <v>212</v>
      </c>
      <c r="B6" s="4">
        <f>13328.8718469122/1000</f>
        <v>13.3288718469122</v>
      </c>
      <c r="C6" s="4">
        <f>14288.9549680418/1000</f>
        <v>14.2889549680418</v>
      </c>
      <c r="D6" s="4">
        <f>18815.6000571755/1000</f>
        <v>18.815600057175498</v>
      </c>
      <c r="E6" s="4">
        <f>17384.3/1000</f>
        <v>17.3843</v>
      </c>
      <c r="F6" s="20">
        <f t="shared" ref="F6:F14" si="0">E6/C6-1</f>
        <v>0.21662501133785805</v>
      </c>
    </row>
    <row r="7" spans="1:6" ht="43.5" x14ac:dyDescent="0.35">
      <c r="A7" s="17" t="s">
        <v>211</v>
      </c>
      <c r="B7" s="4">
        <f>6297.24122934184/1000</f>
        <v>6.2972412293418403</v>
      </c>
      <c r="C7" s="4">
        <f>3790.52208018594/1000</f>
        <v>3.7905220801859398</v>
      </c>
      <c r="D7" s="4">
        <f>6243.69711263579/1000</f>
        <v>6.2436971126357905</v>
      </c>
      <c r="E7" s="4">
        <f>7331.6/1000</f>
        <v>7.3316000000000008</v>
      </c>
      <c r="F7" s="20">
        <f t="shared" si="0"/>
        <v>0.93419266394046629</v>
      </c>
    </row>
    <row r="8" spans="1:6" x14ac:dyDescent="0.35">
      <c r="A8" t="s">
        <v>210</v>
      </c>
      <c r="B8" s="4">
        <f>1864.91693244419/1000</f>
        <v>1.8649169324441901</v>
      </c>
      <c r="C8" s="4">
        <f>1394.5624636839/1000</f>
        <v>1.3945624636839</v>
      </c>
      <c r="D8" s="4">
        <f>1865.02001143511/1000</f>
        <v>1.8650200114351101</v>
      </c>
      <c r="E8" s="4">
        <f>1926.6/1000</f>
        <v>1.9265999999999999</v>
      </c>
      <c r="F8" s="20">
        <f t="shared" si="0"/>
        <v>0.38150857359996659</v>
      </c>
    </row>
    <row r="9" spans="1:6" ht="58" x14ac:dyDescent="0.35">
      <c r="A9" s="17" t="s">
        <v>209</v>
      </c>
      <c r="B9" s="4">
        <f>6226.41127863149/1000</f>
        <v>6.22641127863149</v>
      </c>
      <c r="C9" s="4">
        <f>5030.16719930273/1000</f>
        <v>5.0301671993027304</v>
      </c>
      <c r="D9" s="4">
        <f>4890.65323041738/1000</f>
        <v>4.8906532304173798</v>
      </c>
      <c r="E9" s="4">
        <f>5078.8/1000</f>
        <v>5.0788000000000002</v>
      </c>
      <c r="F9" s="20">
        <f t="shared" si="0"/>
        <v>9.6682274704529281E-3</v>
      </c>
    </row>
    <row r="10" spans="1:6" x14ac:dyDescent="0.35">
      <c r="A10" t="s">
        <v>208</v>
      </c>
      <c r="B10" s="4">
        <f>27384.5914757901/1000</f>
        <v>27.384591475790099</v>
      </c>
      <c r="C10" s="4">
        <f>25817.8894538059/1000</f>
        <v>25.817889453805901</v>
      </c>
      <c r="D10" s="4">
        <f>31663.2365637507/1000</f>
        <v>31.663236563750701</v>
      </c>
      <c r="E10" s="4">
        <f>33194.8/1000</f>
        <v>33.194800000000001</v>
      </c>
      <c r="F10" s="20">
        <f t="shared" si="0"/>
        <v>0.28572864406260146</v>
      </c>
    </row>
    <row r="11" spans="1:6" x14ac:dyDescent="0.35">
      <c r="A11" t="s">
        <v>207</v>
      </c>
      <c r="B11" s="4">
        <f>1596.88416932444/1000</f>
        <v>1.5968841693244402</v>
      </c>
      <c r="C11" s="4">
        <f>959.425479372458/1000</f>
        <v>0.95942547937245792</v>
      </c>
      <c r="D11" s="4">
        <f>1780.71226415094/1000</f>
        <v>1.7807122641509401</v>
      </c>
      <c r="E11" s="4">
        <f>1892.6/1000</f>
        <v>1.8925999999999998</v>
      </c>
      <c r="F11" s="20">
        <f t="shared" si="0"/>
        <v>0.97263887679730354</v>
      </c>
    </row>
    <row r="12" spans="1:6" x14ac:dyDescent="0.35">
      <c r="A12" t="s">
        <v>206</v>
      </c>
      <c r="B12" s="4">
        <f>32499.2273122644/1000</f>
        <v>32.499227312264402</v>
      </c>
      <c r="C12" s="4">
        <f>26586.5531667635/1000</f>
        <v>26.586553166763501</v>
      </c>
      <c r="D12" s="4">
        <f>31628.0664665523/1000</f>
        <v>31.628066466552301</v>
      </c>
      <c r="E12" s="4">
        <f>37056.4/1000</f>
        <v>37.056400000000004</v>
      </c>
      <c r="F12" s="20">
        <f t="shared" si="0"/>
        <v>0.39380233938429865</v>
      </c>
    </row>
    <row r="13" spans="1:6" x14ac:dyDescent="0.35">
      <c r="A13" t="s">
        <v>205</v>
      </c>
      <c r="B13" s="4">
        <f>26633.3863438678/1000</f>
        <v>26.633386343867802</v>
      </c>
      <c r="C13" s="4">
        <f>18852.123474724/1000</f>
        <v>18.852123474724003</v>
      </c>
      <c r="D13" s="4">
        <f>34050.984705546/1000</f>
        <v>34.050984705546</v>
      </c>
      <c r="E13" s="4">
        <f>35996.4/1000</f>
        <v>35.996400000000001</v>
      </c>
      <c r="F13" s="20">
        <f t="shared" si="0"/>
        <v>0.90940824508508022</v>
      </c>
    </row>
    <row r="14" spans="1:6" ht="58" x14ac:dyDescent="0.35">
      <c r="A14" s="17" t="s">
        <v>180</v>
      </c>
      <c r="B14" s="4">
        <f>39098.2347057118/1000</f>
        <v>39.098234705711803</v>
      </c>
      <c r="C14" s="4">
        <f>17156.100232423/1000</f>
        <v>17.156100232423</v>
      </c>
      <c r="D14" s="4">
        <f>40715.2156946826/1000</f>
        <v>40.715215694682598</v>
      </c>
      <c r="E14" s="4">
        <f>50091.9/1000</f>
        <v>50.091900000000003</v>
      </c>
      <c r="F14" s="20">
        <f t="shared" si="0"/>
        <v>1.91977193659269</v>
      </c>
    </row>
    <row r="15" spans="1:6" x14ac:dyDescent="0.35">
      <c r="B15" s="4"/>
      <c r="C15" s="4"/>
      <c r="D15" s="4"/>
      <c r="E15" s="4"/>
    </row>
    <row r="16" spans="1:6" x14ac:dyDescent="0.35">
      <c r="B16" s="4"/>
      <c r="C16" s="4"/>
      <c r="D16" s="4"/>
      <c r="E16" s="4"/>
    </row>
    <row r="17" spans="1:6" x14ac:dyDescent="0.35">
      <c r="A17" t="s">
        <v>194</v>
      </c>
      <c r="B17" s="4"/>
      <c r="C17" s="4"/>
      <c r="D17" s="4"/>
      <c r="E17" s="4"/>
    </row>
    <row r="18" spans="1:6" x14ac:dyDescent="0.35">
      <c r="B18" s="4" t="s">
        <v>217</v>
      </c>
      <c r="C18" s="4" t="s">
        <v>216</v>
      </c>
      <c r="D18" s="4" t="s">
        <v>215</v>
      </c>
      <c r="E18" s="44" t="s">
        <v>214</v>
      </c>
      <c r="F18" t="s">
        <v>213</v>
      </c>
    </row>
    <row r="19" spans="1:6" x14ac:dyDescent="0.35">
      <c r="A19" t="s">
        <v>212</v>
      </c>
      <c r="B19" s="4">
        <v>12.634840243548901</v>
      </c>
      <c r="C19" s="4">
        <v>11.735320743753601</v>
      </c>
      <c r="D19" s="4">
        <v>12.1188116066324</v>
      </c>
      <c r="E19" s="44">
        <v>13.9581</v>
      </c>
      <c r="F19" s="20">
        <f t="shared" ref="F19:F27" si="1">E19/C19-1</f>
        <v>0.18940933143472249</v>
      </c>
    </row>
    <row r="20" spans="1:6" ht="43.5" x14ac:dyDescent="0.35">
      <c r="A20" s="17" t="s">
        <v>211</v>
      </c>
      <c r="B20" s="4">
        <v>16.297003479269399</v>
      </c>
      <c r="C20" s="4">
        <v>16.917545903544497</v>
      </c>
      <c r="D20" s="4">
        <v>16.024099199542601</v>
      </c>
      <c r="E20" s="44">
        <v>17.857400000000002</v>
      </c>
      <c r="F20" s="20">
        <f t="shared" si="1"/>
        <v>5.55549901749397E-2</v>
      </c>
    </row>
    <row r="21" spans="1:6" x14ac:dyDescent="0.35">
      <c r="A21" t="s">
        <v>210</v>
      </c>
      <c r="B21" s="4">
        <v>1.4152741374311399</v>
      </c>
      <c r="C21" s="4">
        <v>0.92419378268448604</v>
      </c>
      <c r="D21" s="4">
        <v>1.2360781875357301</v>
      </c>
      <c r="E21" s="44">
        <v>1.4979</v>
      </c>
      <c r="F21" s="20">
        <f t="shared" si="1"/>
        <v>0.620763987016967</v>
      </c>
    </row>
    <row r="22" spans="1:6" ht="58" x14ac:dyDescent="0.35">
      <c r="A22" s="17" t="s">
        <v>209</v>
      </c>
      <c r="B22" s="4">
        <v>8.4533253116845497</v>
      </c>
      <c r="C22" s="4">
        <v>6.6679815514235896</v>
      </c>
      <c r="D22" s="4">
        <v>8.610041738136081</v>
      </c>
      <c r="E22" s="44">
        <v>9.9292000000000016</v>
      </c>
      <c r="F22" s="20">
        <f t="shared" si="1"/>
        <v>0.48908630346767445</v>
      </c>
    </row>
    <row r="23" spans="1:6" x14ac:dyDescent="0.35">
      <c r="A23" t="s">
        <v>208</v>
      </c>
      <c r="B23" s="4">
        <v>44.402022180342101</v>
      </c>
      <c r="C23" s="4">
        <v>48.290095293434</v>
      </c>
      <c r="D23" s="4">
        <v>51.665978130360202</v>
      </c>
      <c r="E23" s="44">
        <v>52.821899999999999</v>
      </c>
      <c r="F23" s="20">
        <f t="shared" si="1"/>
        <v>9.3845428944145937E-2</v>
      </c>
    </row>
    <row r="24" spans="1:6" x14ac:dyDescent="0.35">
      <c r="A24" t="s">
        <v>207</v>
      </c>
      <c r="B24" s="4">
        <v>3.1283398086401899</v>
      </c>
      <c r="C24" s="4">
        <v>2.5777347472399801</v>
      </c>
      <c r="D24" s="4">
        <v>2.76045068610635</v>
      </c>
      <c r="E24" s="44">
        <v>3.8090000000000002</v>
      </c>
      <c r="F24" s="20">
        <f t="shared" si="1"/>
        <v>0.47765397664688147</v>
      </c>
    </row>
    <row r="25" spans="1:6" x14ac:dyDescent="0.35">
      <c r="A25" t="s">
        <v>206</v>
      </c>
      <c r="B25" s="4">
        <v>14.9505210205857</v>
      </c>
      <c r="C25" s="4">
        <v>13.0882178965718</v>
      </c>
      <c r="D25" s="4">
        <v>13.418396941109201</v>
      </c>
      <c r="E25" s="44">
        <v>17.269200000000001</v>
      </c>
      <c r="F25" s="20">
        <f t="shared" si="1"/>
        <v>0.31944624825686363</v>
      </c>
    </row>
    <row r="26" spans="1:6" x14ac:dyDescent="0.35">
      <c r="A26" t="s">
        <v>205</v>
      </c>
      <c r="B26" s="4">
        <v>68.922841548274903</v>
      </c>
      <c r="C26" s="4">
        <v>68.689145554909899</v>
      </c>
      <c r="D26" s="4">
        <v>77.061300457404201</v>
      </c>
      <c r="E26" s="44">
        <v>84.222200000000001</v>
      </c>
      <c r="F26" s="20">
        <f t="shared" si="1"/>
        <v>0.22613550248158232</v>
      </c>
    </row>
    <row r="27" spans="1:6" ht="58" x14ac:dyDescent="0.35">
      <c r="A27" s="17" t="s">
        <v>180</v>
      </c>
      <c r="B27" s="4">
        <v>53.554882429689805</v>
      </c>
      <c r="C27" s="4">
        <v>27.827117373619998</v>
      </c>
      <c r="D27" s="4">
        <v>35.394884362492796</v>
      </c>
      <c r="E27" s="44">
        <v>48.012599999999999</v>
      </c>
      <c r="F27" s="20">
        <f t="shared" si="1"/>
        <v>0.72538892028808433</v>
      </c>
    </row>
    <row r="29" spans="1:6" x14ac:dyDescent="0.35">
      <c r="A29" s="83" t="s">
        <v>192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5" x14ac:dyDescent="0.35"/>
  <cols>
    <col min="2" max="2" width="9.6328125" customWidth="1"/>
  </cols>
  <sheetData>
    <row r="1" spans="1:10" ht="26" x14ac:dyDescent="0.6">
      <c r="A1" s="1" t="s">
        <v>65</v>
      </c>
    </row>
    <row r="2" spans="1:10" x14ac:dyDescent="0.35">
      <c r="A2" t="s">
        <v>66</v>
      </c>
    </row>
    <row r="3" spans="1:10" x14ac:dyDescent="0.35">
      <c r="A3" t="s">
        <v>56</v>
      </c>
    </row>
    <row r="5" spans="1:10" x14ac:dyDescent="0.35">
      <c r="B5" t="s">
        <v>67</v>
      </c>
      <c r="C5" t="s">
        <v>68</v>
      </c>
      <c r="D5" t="s">
        <v>69</v>
      </c>
      <c r="E5" t="s">
        <v>70</v>
      </c>
      <c r="F5" t="s">
        <v>57</v>
      </c>
      <c r="G5" t="s">
        <v>17</v>
      </c>
      <c r="H5" t="s">
        <v>16</v>
      </c>
      <c r="I5" t="s">
        <v>15</v>
      </c>
      <c r="J5" t="s">
        <v>21</v>
      </c>
    </row>
    <row r="6" spans="1:10" x14ac:dyDescent="0.35">
      <c r="A6" s="19" t="s">
        <v>71</v>
      </c>
      <c r="B6" s="4">
        <f>(B27/B12)/4/1000</f>
        <v>38.560575559881642</v>
      </c>
      <c r="C6" s="4">
        <f t="shared" ref="C6:I6" si="0">(C27/C12)/4/1000</f>
        <v>38.348527451554119</v>
      </c>
      <c r="D6" s="4">
        <f t="shared" si="0"/>
        <v>36.679129847304182</v>
      </c>
      <c r="E6" s="4">
        <f t="shared" si="0"/>
        <v>35.151278563240972</v>
      </c>
      <c r="F6" s="4">
        <f t="shared" si="0"/>
        <v>33.491873372894972</v>
      </c>
      <c r="G6" s="4">
        <f t="shared" si="0"/>
        <v>34.047459058677283</v>
      </c>
      <c r="H6" s="4">
        <f t="shared" si="0"/>
        <v>35.124685812555313</v>
      </c>
      <c r="I6" s="4">
        <f t="shared" si="0"/>
        <v>35.784383008857304</v>
      </c>
      <c r="J6" s="4">
        <f>(J27/J12)/4/1000</f>
        <v>36.816249489825665</v>
      </c>
    </row>
    <row r="7" spans="1:10" x14ac:dyDescent="0.35">
      <c r="A7" s="19" t="s">
        <v>72</v>
      </c>
      <c r="B7" s="4">
        <f t="shared" ref="B7:I8" si="1">(B28/B13)/4/1000</f>
        <v>35.074583173109289</v>
      </c>
      <c r="C7" s="4">
        <f t="shared" si="1"/>
        <v>36.42518280464509</v>
      </c>
      <c r="D7" s="4">
        <f t="shared" si="1"/>
        <v>35.276944890272631</v>
      </c>
      <c r="E7" s="4">
        <f t="shared" si="1"/>
        <v>35.340808594557856</v>
      </c>
      <c r="F7" s="4">
        <f t="shared" si="1"/>
        <v>35.318284906752694</v>
      </c>
      <c r="G7" s="4">
        <f t="shared" si="1"/>
        <v>36.301250613246708</v>
      </c>
      <c r="H7" s="4">
        <f t="shared" si="1"/>
        <v>23.481643450109335</v>
      </c>
      <c r="I7" s="4">
        <f t="shared" si="1"/>
        <v>22.175916886822272</v>
      </c>
      <c r="J7" s="4">
        <f>(J28/J13)/4/1000</f>
        <v>24.838708649577431</v>
      </c>
    </row>
    <row r="8" spans="1:10" x14ac:dyDescent="0.35">
      <c r="A8" s="19" t="s">
        <v>73</v>
      </c>
      <c r="B8" s="4">
        <f t="shared" si="1"/>
        <v>171.91253440975154</v>
      </c>
      <c r="C8" s="4">
        <f t="shared" si="1"/>
        <v>168.20019427133712</v>
      </c>
      <c r="D8" s="4">
        <f t="shared" si="1"/>
        <v>174.55219669565437</v>
      </c>
      <c r="E8" s="4">
        <f t="shared" si="1"/>
        <v>178.54927190072118</v>
      </c>
      <c r="F8" s="4">
        <f t="shared" si="1"/>
        <v>173.77014089376857</v>
      </c>
      <c r="G8" s="4">
        <f t="shared" si="1"/>
        <v>159.9046903409384</v>
      </c>
      <c r="H8" s="4">
        <f t="shared" si="1"/>
        <v>125.05584564674163</v>
      </c>
      <c r="I8" s="4">
        <f t="shared" si="1"/>
        <v>137.0139072632704</v>
      </c>
      <c r="J8" s="4">
        <f>(J29/J14)/4/1000</f>
        <v>138.94953901917415</v>
      </c>
    </row>
    <row r="9" spans="1:10" x14ac:dyDescent="0.35">
      <c r="B9" s="40"/>
      <c r="C9" s="40"/>
      <c r="D9" s="40"/>
      <c r="E9" s="40"/>
      <c r="F9" s="40"/>
      <c r="G9" s="40"/>
      <c r="H9" s="40"/>
      <c r="I9" s="40"/>
    </row>
    <row r="11" spans="1:10" x14ac:dyDescent="0.35">
      <c r="A11" t="s">
        <v>64</v>
      </c>
    </row>
    <row r="12" spans="1:10" x14ac:dyDescent="0.35">
      <c r="A12" s="19" t="s">
        <v>71</v>
      </c>
      <c r="B12" s="20">
        <f t="shared" ref="B12:I14" si="2">B16/$J16</f>
        <v>0.94487464892091266</v>
      </c>
      <c r="C12" s="20">
        <f t="shared" si="2"/>
        <v>0.94429269997503829</v>
      </c>
      <c r="D12" s="20">
        <f t="shared" si="2"/>
        <v>0.95535114422326028</v>
      </c>
      <c r="E12" s="20">
        <f t="shared" si="2"/>
        <v>0.96163482768149811</v>
      </c>
      <c r="F12" s="20">
        <f t="shared" si="2"/>
        <v>0.96314321018166504</v>
      </c>
      <c r="G12" s="20">
        <f t="shared" si="2"/>
        <v>0.96181665009004214</v>
      </c>
      <c r="H12" s="20">
        <f t="shared" si="2"/>
        <v>0.96395420628677686</v>
      </c>
      <c r="I12" s="20">
        <f t="shared" si="2"/>
        <v>0.98741937304472416</v>
      </c>
      <c r="J12" s="20">
        <f>J16/$J16</f>
        <v>1</v>
      </c>
    </row>
    <row r="13" spans="1:10" x14ac:dyDescent="0.35">
      <c r="A13" s="19" t="s">
        <v>74</v>
      </c>
      <c r="B13" s="20">
        <f t="shared" si="2"/>
        <v>0.94026144097890663</v>
      </c>
      <c r="C13" s="20">
        <f t="shared" si="2"/>
        <v>0.93668030292440352</v>
      </c>
      <c r="D13" s="20">
        <f t="shared" si="2"/>
        <v>0.94967884827254812</v>
      </c>
      <c r="E13" s="20">
        <f t="shared" si="2"/>
        <v>0.94911632111786803</v>
      </c>
      <c r="F13" s="20">
        <f t="shared" si="2"/>
        <v>0.95589285312266725</v>
      </c>
      <c r="G13" s="20">
        <f t="shared" si="2"/>
        <v>0.94757254070359442</v>
      </c>
      <c r="H13" s="20">
        <f t="shared" si="2"/>
        <v>0.95961715473028908</v>
      </c>
      <c r="I13" s="20">
        <f t="shared" si="2"/>
        <v>0.98203223565073083</v>
      </c>
      <c r="J13" s="20">
        <f>J17/$J17</f>
        <v>1</v>
      </c>
    </row>
    <row r="14" spans="1:10" x14ac:dyDescent="0.35">
      <c r="A14" s="19" t="s">
        <v>73</v>
      </c>
      <c r="B14" s="20">
        <f t="shared" si="2"/>
        <v>0.9065639788160057</v>
      </c>
      <c r="C14" s="20">
        <f t="shared" si="2"/>
        <v>0.90683891076302181</v>
      </c>
      <c r="D14" s="20">
        <f t="shared" si="2"/>
        <v>0.91656902151612163</v>
      </c>
      <c r="E14" s="20">
        <f t="shared" si="2"/>
        <v>0.91754211163773103</v>
      </c>
      <c r="F14" s="20">
        <f t="shared" si="2"/>
        <v>0.92244933128027984</v>
      </c>
      <c r="G14" s="20">
        <f t="shared" si="2"/>
        <v>0.93644335777046905</v>
      </c>
      <c r="H14" s="20">
        <f t="shared" si="2"/>
        <v>0.94409315408194816</v>
      </c>
      <c r="I14" s="20">
        <f t="shared" si="2"/>
        <v>0.98209416743376132</v>
      </c>
      <c r="J14" s="20">
        <f>J18/$J18</f>
        <v>1</v>
      </c>
    </row>
    <row r="15" spans="1:10" x14ac:dyDescent="0.35">
      <c r="A15" t="s">
        <v>63</v>
      </c>
    </row>
    <row r="16" spans="1:10" x14ac:dyDescent="0.35">
      <c r="A16" s="19" t="s">
        <v>71</v>
      </c>
      <c r="B16" s="20">
        <f>B27/B22</f>
        <v>1.5103414302831977</v>
      </c>
      <c r="C16" s="20">
        <f t="shared" ref="C16:I16" si="3">C27/C22</f>
        <v>1.5094112099579222</v>
      </c>
      <c r="D16" s="20">
        <f t="shared" si="3"/>
        <v>1.5270876567984011</v>
      </c>
      <c r="E16" s="20">
        <f t="shared" si="3"/>
        <v>1.5371318541663803</v>
      </c>
      <c r="F16" s="20">
        <f t="shared" si="3"/>
        <v>1.5395429386264388</v>
      </c>
      <c r="G16" s="20">
        <f t="shared" si="3"/>
        <v>1.5374224894552957</v>
      </c>
      <c r="H16" s="20">
        <f t="shared" si="3"/>
        <v>1.5408392809706295</v>
      </c>
      <c r="I16" s="20">
        <f t="shared" si="3"/>
        <v>1.5783473393818763</v>
      </c>
      <c r="J16" s="20">
        <f>J27/J22</f>
        <v>1.5984569297187434</v>
      </c>
    </row>
    <row r="17" spans="1:10" x14ac:dyDescent="0.35">
      <c r="A17" s="19" t="s">
        <v>74</v>
      </c>
      <c r="B17" s="20">
        <f t="shared" ref="B17:I18" si="4">B28/B23</f>
        <v>1.5210265853515845</v>
      </c>
      <c r="C17" s="20">
        <f t="shared" si="4"/>
        <v>1.515233509139672</v>
      </c>
      <c r="D17" s="20">
        <f t="shared" si="4"/>
        <v>1.536260781112925</v>
      </c>
      <c r="E17" s="20">
        <f t="shared" si="4"/>
        <v>1.5353508014838977</v>
      </c>
      <c r="F17" s="20">
        <f t="shared" si="4"/>
        <v>1.5463129497615666</v>
      </c>
      <c r="G17" s="20">
        <f t="shared" si="4"/>
        <v>1.5328534843019759</v>
      </c>
      <c r="H17" s="20">
        <f t="shared" si="4"/>
        <v>1.5523376164235994</v>
      </c>
      <c r="I17" s="20">
        <f t="shared" si="4"/>
        <v>1.5885976740064178</v>
      </c>
      <c r="J17" s="20">
        <f>J28/J23</f>
        <v>1.6176634700323806</v>
      </c>
    </row>
    <row r="18" spans="1:10" x14ac:dyDescent="0.35">
      <c r="A18" s="19" t="s">
        <v>73</v>
      </c>
      <c r="B18" s="20">
        <f t="shared" si="4"/>
        <v>1.4790240503432766</v>
      </c>
      <c r="C18" s="20">
        <f t="shared" si="4"/>
        <v>1.4794725911758557</v>
      </c>
      <c r="D18" s="20">
        <f t="shared" si="4"/>
        <v>1.4953468903457097</v>
      </c>
      <c r="E18" s="20">
        <f t="shared" si="4"/>
        <v>1.4969344492236738</v>
      </c>
      <c r="F18" s="20">
        <f t="shared" si="4"/>
        <v>1.5049403881769572</v>
      </c>
      <c r="G18" s="20">
        <f t="shared" si="4"/>
        <v>1.5277711008721186</v>
      </c>
      <c r="H18" s="20">
        <f t="shared" si="4"/>
        <v>1.5402514475319116</v>
      </c>
      <c r="I18" s="20">
        <f t="shared" si="4"/>
        <v>1.6022486302990362</v>
      </c>
      <c r="J18" s="20">
        <f>J29/J24</f>
        <v>1.6314613032330243</v>
      </c>
    </row>
    <row r="20" spans="1:10" x14ac:dyDescent="0.35">
      <c r="A20" t="s">
        <v>75</v>
      </c>
    </row>
    <row r="21" spans="1:10" x14ac:dyDescent="0.35">
      <c r="A21" s="19"/>
      <c r="B21" s="18">
        <v>43435</v>
      </c>
      <c r="C21" s="18">
        <v>43555</v>
      </c>
      <c r="D21" s="18">
        <v>43646</v>
      </c>
      <c r="E21" s="18">
        <v>43709</v>
      </c>
      <c r="F21" s="18">
        <v>43800</v>
      </c>
      <c r="G21" s="18">
        <v>43921</v>
      </c>
      <c r="H21" s="18">
        <v>44012</v>
      </c>
      <c r="I21" s="18">
        <v>44075</v>
      </c>
      <c r="J21" s="18">
        <v>44138</v>
      </c>
    </row>
    <row r="22" spans="1:10" x14ac:dyDescent="0.35">
      <c r="A22" s="19" t="s">
        <v>71</v>
      </c>
      <c r="B22" s="30">
        <v>96494.500021759275</v>
      </c>
      <c r="C22" s="14">
        <v>95963.867999375449</v>
      </c>
      <c r="D22" s="14">
        <v>91786.345106609937</v>
      </c>
      <c r="E22" s="14">
        <v>87963.029618636065</v>
      </c>
      <c r="F22" s="14">
        <v>83810.511876070464</v>
      </c>
      <c r="G22" s="14">
        <v>85200.816927030013</v>
      </c>
      <c r="H22" s="14">
        <v>87896.483563647053</v>
      </c>
      <c r="I22" s="14">
        <v>89547.318651003618</v>
      </c>
      <c r="J22" s="14">
        <v>92129.475134006061</v>
      </c>
    </row>
    <row r="23" spans="1:10" x14ac:dyDescent="0.35">
      <c r="A23" s="19" t="s">
        <v>74</v>
      </c>
      <c r="B23" s="30">
        <v>86728.998516377964</v>
      </c>
      <c r="C23" s="14">
        <v>90068.629178888426</v>
      </c>
      <c r="D23" s="14">
        <v>87229.378776950412</v>
      </c>
      <c r="E23" s="14">
        <v>87387.294698199359</v>
      </c>
      <c r="F23" s="14">
        <v>87331.600326106709</v>
      </c>
      <c r="G23" s="14">
        <v>89762.181778191647</v>
      </c>
      <c r="H23" s="14">
        <v>58063.111110840138</v>
      </c>
      <c r="I23" s="14">
        <v>54834.438182320773</v>
      </c>
      <c r="J23" s="14">
        <v>61418.729197316265</v>
      </c>
    </row>
    <row r="24" spans="1:10" x14ac:dyDescent="0.35">
      <c r="A24" s="19" t="s">
        <v>73</v>
      </c>
      <c r="B24" s="30">
        <v>421493.3791419433</v>
      </c>
      <c r="C24" s="14">
        <v>412391.50187140622</v>
      </c>
      <c r="D24" s="14">
        <v>427965.2759149085</v>
      </c>
      <c r="E24" s="14">
        <v>437765.26368573931</v>
      </c>
      <c r="F24" s="14">
        <v>426047.8395642307</v>
      </c>
      <c r="G24" s="14">
        <v>392052.67087624926</v>
      </c>
      <c r="H24" s="14">
        <v>306610.63280856668</v>
      </c>
      <c r="I24" s="14">
        <v>335929.28497109556</v>
      </c>
      <c r="J24" s="14">
        <v>340675.04695041548</v>
      </c>
    </row>
    <row r="25" spans="1:10" x14ac:dyDescent="0.35">
      <c r="A25" s="32" t="s">
        <v>76</v>
      </c>
      <c r="B25" s="34">
        <v>604716.87768008048</v>
      </c>
      <c r="C25" s="33">
        <v>598423.99904967006</v>
      </c>
      <c r="D25" s="33">
        <v>606980.99979846878</v>
      </c>
      <c r="E25" s="33">
        <v>613115.58800257475</v>
      </c>
      <c r="F25" s="33">
        <v>597189.95176640782</v>
      </c>
      <c r="G25" s="33">
        <v>567015.66958147089</v>
      </c>
      <c r="H25" s="33">
        <v>452570.22748305387</v>
      </c>
      <c r="I25" s="33">
        <v>480311.04180441995</v>
      </c>
      <c r="J25" s="33">
        <v>494223.25128173782</v>
      </c>
    </row>
    <row r="26" spans="1:10" x14ac:dyDescent="0.35">
      <c r="A26" s="19" t="s">
        <v>77</v>
      </c>
    </row>
    <row r="27" spans="1:10" x14ac:dyDescent="0.35">
      <c r="A27" s="19" t="s">
        <v>71</v>
      </c>
      <c r="B27" s="30">
        <v>145739.64117732595</v>
      </c>
      <c r="C27" s="30">
        <v>144848.93810917964</v>
      </c>
      <c r="D27" s="30">
        <v>140165.79467494236</v>
      </c>
      <c r="E27" s="30">
        <v>135210.77481578628</v>
      </c>
      <c r="F27" s="30">
        <v>129029.88174147157</v>
      </c>
      <c r="G27" s="30">
        <v>130989.65206357939</v>
      </c>
      <c r="H27" s="30">
        <v>135434.35453405668</v>
      </c>
      <c r="I27" s="30">
        <v>141336.77214159264</v>
      </c>
      <c r="J27" s="30">
        <v>147264.99795930265</v>
      </c>
    </row>
    <row r="28" spans="1:10" x14ac:dyDescent="0.35">
      <c r="A28" s="19" t="s">
        <v>74</v>
      </c>
      <c r="B28" s="30">
        <v>131917.11246432902</v>
      </c>
      <c r="C28" s="30">
        <v>136475.00505412696</v>
      </c>
      <c r="D28" s="30">
        <v>134007.07357587304</v>
      </c>
      <c r="E28" s="30">
        <v>134170.15295438995</v>
      </c>
      <c r="F28" s="30">
        <v>135041.98450766027</v>
      </c>
      <c r="G28" s="30">
        <v>137592.2730972484</v>
      </c>
      <c r="H28" s="30">
        <v>90133.551503940194</v>
      </c>
      <c r="I28" s="30">
        <v>87109.860951883486</v>
      </c>
      <c r="J28" s="30">
        <v>99354.834598309724</v>
      </c>
    </row>
    <row r="29" spans="1:10" x14ac:dyDescent="0.35">
      <c r="A29" s="19" t="s">
        <v>73</v>
      </c>
      <c r="B29" s="30">
        <v>623398.84481139132</v>
      </c>
      <c r="C29" s="30">
        <v>610121.92385259212</v>
      </c>
      <c r="D29" s="30">
        <v>639956.54451530206</v>
      </c>
      <c r="E29" s="30">
        <v>655305.90388466849</v>
      </c>
      <c r="F29" s="30">
        <v>641176.60105574736</v>
      </c>
      <c r="G29" s="30">
        <v>598966.74058446172</v>
      </c>
      <c r="H29" s="30">
        <v>472257.47101207025</v>
      </c>
      <c r="I29" s="30">
        <v>538242.23672227247</v>
      </c>
      <c r="J29" s="30">
        <v>555798.15607669658</v>
      </c>
    </row>
    <row r="30" spans="1:10" x14ac:dyDescent="0.35">
      <c r="F30" s="34"/>
      <c r="G30" s="34"/>
      <c r="H30" s="34"/>
      <c r="I30" s="34"/>
      <c r="J30" s="34"/>
    </row>
    <row r="31" spans="1:10" x14ac:dyDescent="0.35">
      <c r="A31" t="s">
        <v>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zoomScale="44" zoomScaleNormal="44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L9" sqref="L9"/>
    </sheetView>
  </sheetViews>
  <sheetFormatPr defaultColWidth="9.08984375" defaultRowHeight="14.5" x14ac:dyDescent="0.35"/>
  <cols>
    <col min="1" max="1" width="18.7265625" customWidth="1"/>
    <col min="2" max="2" width="13.54296875" bestFit="1" customWidth="1"/>
    <col min="3" max="3" width="14.08984375" bestFit="1" customWidth="1"/>
    <col min="4" max="4" width="12.08984375" bestFit="1" customWidth="1"/>
    <col min="5" max="5" width="12.1796875" bestFit="1" customWidth="1"/>
    <col min="6" max="6" width="11.81640625" customWidth="1"/>
    <col min="7" max="7" width="13.08984375" bestFit="1" customWidth="1"/>
    <col min="8" max="8" width="13.81640625" bestFit="1" customWidth="1"/>
    <col min="9" max="9" width="12.1796875" bestFit="1" customWidth="1"/>
    <col min="10" max="17" width="16.26953125" customWidth="1"/>
    <col min="19" max="20" width="9.7265625" bestFit="1" customWidth="1"/>
    <col min="21" max="21" width="10.7265625" bestFit="1" customWidth="1"/>
  </cols>
  <sheetData>
    <row r="1" spans="1:23" ht="26" x14ac:dyDescent="0.6">
      <c r="A1" s="1" t="s">
        <v>227</v>
      </c>
      <c r="B1" s="46"/>
      <c r="C1" s="46"/>
      <c r="D1" s="46"/>
      <c r="E1" s="46"/>
      <c r="F1" s="46"/>
    </row>
    <row r="2" spans="1:23" x14ac:dyDescent="0.35">
      <c r="A2" s="110" t="s">
        <v>226</v>
      </c>
      <c r="B2" s="46"/>
      <c r="C2" s="46"/>
      <c r="D2" s="46"/>
      <c r="E2" s="46"/>
      <c r="F2" s="46"/>
    </row>
    <row r="3" spans="1:23" s="96" customFormat="1" x14ac:dyDescent="0.35">
      <c r="A3" s="46"/>
      <c r="B3" s="109"/>
      <c r="C3" s="109"/>
      <c r="D3" s="109"/>
      <c r="E3" s="109"/>
      <c r="F3" s="109"/>
      <c r="G3" s="108" t="s">
        <v>225</v>
      </c>
      <c r="H3" s="108"/>
      <c r="I3" s="108"/>
      <c r="J3" s="108"/>
      <c r="K3" s="108"/>
      <c r="L3" s="108"/>
      <c r="M3" s="108" t="s">
        <v>224</v>
      </c>
      <c r="N3" s="108"/>
      <c r="O3" s="108"/>
      <c r="P3" s="108"/>
      <c r="Q3" s="108"/>
    </row>
    <row r="4" spans="1:23" s="107" customFormat="1" x14ac:dyDescent="0.35">
      <c r="A4" s="105"/>
      <c r="B4" s="82" t="s">
        <v>223</v>
      </c>
      <c r="C4" s="82" t="s">
        <v>222</v>
      </c>
      <c r="D4" s="82" t="s">
        <v>221</v>
      </c>
      <c r="E4" s="82" t="s">
        <v>220</v>
      </c>
      <c r="F4" s="105"/>
      <c r="G4" s="100" t="s">
        <v>223</v>
      </c>
      <c r="H4" s="100" t="s">
        <v>222</v>
      </c>
      <c r="I4" s="100" t="s">
        <v>221</v>
      </c>
      <c r="J4" s="100" t="s">
        <v>220</v>
      </c>
      <c r="K4" s="100" t="s">
        <v>51</v>
      </c>
      <c r="L4" s="82"/>
      <c r="M4" s="82" t="s">
        <v>223</v>
      </c>
      <c r="N4" s="82" t="s">
        <v>222</v>
      </c>
      <c r="O4" s="82" t="s">
        <v>221</v>
      </c>
      <c r="P4" s="82" t="s">
        <v>220</v>
      </c>
      <c r="Q4" s="82" t="s">
        <v>51</v>
      </c>
      <c r="R4" s="82"/>
      <c r="S4" s="82"/>
      <c r="T4" s="82"/>
      <c r="U4" s="82"/>
      <c r="V4" s="82"/>
      <c r="W4" s="82"/>
    </row>
    <row r="5" spans="1:23" s="107" customFormat="1" x14ac:dyDescent="0.35">
      <c r="A5" s="105">
        <v>2011</v>
      </c>
      <c r="B5" s="104">
        <f t="shared" ref="B5:B14" si="0">G5/M5</f>
        <v>5.5223541531243182E-2</v>
      </c>
      <c r="C5" s="104">
        <f t="shared" ref="C5:C14" si="1">H5/N5</f>
        <v>0.10214663638793982</v>
      </c>
      <c r="D5" s="104">
        <f t="shared" ref="D5:D14" si="2">I5/O5</f>
        <v>0.11747560900779284</v>
      </c>
      <c r="E5" s="104">
        <f t="shared" ref="E5:E14" si="3">J5/P5</f>
        <v>9.2368529303730518E-2</v>
      </c>
      <c r="F5" s="105"/>
      <c r="G5" s="44">
        <v>24552</v>
      </c>
      <c r="H5" s="44">
        <v>34770</v>
      </c>
      <c r="I5" s="44">
        <v>3829</v>
      </c>
      <c r="J5" s="44">
        <v>92289</v>
      </c>
      <c r="K5" s="44">
        <v>155440</v>
      </c>
      <c r="L5" s="44"/>
      <c r="M5" s="111">
        <v>444593</v>
      </c>
      <c r="N5" s="4">
        <v>340393</v>
      </c>
      <c r="O5" s="4">
        <v>32594</v>
      </c>
      <c r="P5" s="111">
        <v>999139</v>
      </c>
      <c r="Q5" s="111">
        <v>1816719</v>
      </c>
      <c r="R5" s="100"/>
      <c r="S5" s="100"/>
      <c r="T5" s="100"/>
      <c r="U5" s="100"/>
      <c r="V5" s="100"/>
      <c r="W5" s="100"/>
    </row>
    <row r="6" spans="1:23" s="107" customFormat="1" x14ac:dyDescent="0.35">
      <c r="A6" s="105">
        <v>2012</v>
      </c>
      <c r="B6" s="104">
        <f t="shared" si="0"/>
        <v>2.466146268423134E-2</v>
      </c>
      <c r="C6" s="104">
        <f t="shared" si="1"/>
        <v>0.10584526431718062</v>
      </c>
      <c r="D6" s="104">
        <f t="shared" si="2"/>
        <v>0.18048464527928065</v>
      </c>
      <c r="E6" s="104">
        <f t="shared" si="3"/>
        <v>8.4284895531177642E-2</v>
      </c>
      <c r="F6" s="105"/>
      <c r="G6" s="111">
        <v>11661</v>
      </c>
      <c r="H6" s="111">
        <v>38443</v>
      </c>
      <c r="I6" s="111">
        <v>4737</v>
      </c>
      <c r="J6" s="44">
        <v>96178</v>
      </c>
      <c r="K6" s="111">
        <v>151019</v>
      </c>
      <c r="L6" s="44"/>
      <c r="M6" s="111">
        <v>472843</v>
      </c>
      <c r="N6" s="4">
        <v>363200</v>
      </c>
      <c r="O6" s="4">
        <v>26246</v>
      </c>
      <c r="P6" s="111">
        <v>1141106</v>
      </c>
      <c r="Q6" s="111">
        <v>2003395</v>
      </c>
      <c r="R6" s="100"/>
      <c r="S6" s="100"/>
      <c r="T6" s="100"/>
      <c r="U6" s="100"/>
      <c r="V6" s="100"/>
      <c r="W6" s="100"/>
    </row>
    <row r="7" spans="1:23" s="107" customFormat="1" x14ac:dyDescent="0.35">
      <c r="A7" s="105">
        <v>2013</v>
      </c>
      <c r="B7" s="104">
        <f t="shared" si="0"/>
        <v>1.9893306917187004E-4</v>
      </c>
      <c r="C7" s="104">
        <f t="shared" si="1"/>
        <v>0.12551422120298053</v>
      </c>
      <c r="D7" s="104">
        <f t="shared" si="2"/>
        <v>0.22356611840838181</v>
      </c>
      <c r="E7" s="104">
        <f t="shared" si="3"/>
        <v>9.363488436958714E-2</v>
      </c>
      <c r="F7" s="105"/>
      <c r="G7" s="111">
        <v>98</v>
      </c>
      <c r="H7" s="111">
        <v>49641</v>
      </c>
      <c r="I7" s="111">
        <v>5804</v>
      </c>
      <c r="J7" s="44">
        <v>107089</v>
      </c>
      <c r="K7" s="111">
        <v>162632</v>
      </c>
      <c r="L7" s="44"/>
      <c r="M7" s="111">
        <v>492628</v>
      </c>
      <c r="N7" s="4">
        <v>395501</v>
      </c>
      <c r="O7" s="4">
        <v>25961</v>
      </c>
      <c r="P7" s="111">
        <v>1143687</v>
      </c>
      <c r="Q7" s="111">
        <v>2057777</v>
      </c>
      <c r="R7" s="100"/>
      <c r="S7" s="100"/>
      <c r="T7" s="100"/>
      <c r="U7" s="100"/>
      <c r="V7" s="100"/>
      <c r="W7" s="100"/>
    </row>
    <row r="8" spans="1:23" s="107" customFormat="1" x14ac:dyDescent="0.35">
      <c r="A8" s="105">
        <v>2014</v>
      </c>
      <c r="B8" s="104">
        <f t="shared" si="0"/>
        <v>2.2300717583579016E-2</v>
      </c>
      <c r="C8" s="104">
        <f t="shared" si="1"/>
        <v>0.10230817060676013</v>
      </c>
      <c r="D8" s="104">
        <f t="shared" si="2"/>
        <v>5.3864537647398694E-2</v>
      </c>
      <c r="E8" s="104">
        <f t="shared" si="3"/>
        <v>8.7777062242704221E-2</v>
      </c>
      <c r="F8" s="105"/>
      <c r="G8" s="111">
        <v>12027</v>
      </c>
      <c r="H8" s="111">
        <v>40641</v>
      </c>
      <c r="I8" s="111">
        <v>2051</v>
      </c>
      <c r="J8" s="44">
        <v>125672</v>
      </c>
      <c r="K8" s="111">
        <v>180391</v>
      </c>
      <c r="L8" s="44"/>
      <c r="M8" s="111">
        <v>539310</v>
      </c>
      <c r="N8" s="4">
        <v>397241</v>
      </c>
      <c r="O8" s="4">
        <v>38077</v>
      </c>
      <c r="P8" s="111">
        <v>1431718</v>
      </c>
      <c r="Q8" s="111">
        <v>2406346</v>
      </c>
      <c r="R8" s="100"/>
      <c r="S8" s="100"/>
      <c r="T8" s="100"/>
      <c r="U8" s="100"/>
      <c r="V8" s="100"/>
      <c r="W8" s="100"/>
    </row>
    <row r="9" spans="1:23" s="107" customFormat="1" x14ac:dyDescent="0.35">
      <c r="A9" s="105">
        <v>2015</v>
      </c>
      <c r="B9" s="104">
        <f t="shared" si="0"/>
        <v>-1.2323813020164109E-2</v>
      </c>
      <c r="C9" s="104">
        <f t="shared" si="1"/>
        <v>9.6704613273190979E-2</v>
      </c>
      <c r="D9" s="104">
        <f t="shared" si="2"/>
        <v>0.14214403518416713</v>
      </c>
      <c r="E9" s="104">
        <f t="shared" si="3"/>
        <v>6.3624131620746552E-2</v>
      </c>
      <c r="F9" s="105"/>
      <c r="G9" s="111">
        <v>-6311</v>
      </c>
      <c r="H9" s="111">
        <v>43264</v>
      </c>
      <c r="I9" s="111">
        <v>6464</v>
      </c>
      <c r="J9" s="44">
        <v>103225</v>
      </c>
      <c r="K9" s="111">
        <v>146642</v>
      </c>
      <c r="L9" s="44"/>
      <c r="M9" s="111">
        <v>512098</v>
      </c>
      <c r="N9" s="4">
        <v>447383</v>
      </c>
      <c r="O9" s="4">
        <v>45475</v>
      </c>
      <c r="P9" s="111">
        <v>1622419</v>
      </c>
      <c r="Q9" s="111">
        <v>2627375</v>
      </c>
      <c r="R9" s="100"/>
      <c r="S9" s="100"/>
      <c r="T9" s="100"/>
      <c r="U9" s="100"/>
      <c r="V9" s="100"/>
      <c r="W9" s="100"/>
    </row>
    <row r="10" spans="1:23" s="107" customFormat="1" x14ac:dyDescent="0.35">
      <c r="A10" s="105">
        <v>2016</v>
      </c>
      <c r="B10" s="104">
        <f t="shared" si="0"/>
        <v>3.0470319392039112E-2</v>
      </c>
      <c r="C10" s="104">
        <f t="shared" si="1"/>
        <v>0.15878472901629542</v>
      </c>
      <c r="D10" s="104">
        <f t="shared" si="2"/>
        <v>6.7019156239619085E-2</v>
      </c>
      <c r="E10" s="104">
        <f t="shared" si="3"/>
        <v>5.843938261861966E-2</v>
      </c>
      <c r="F10" s="105"/>
      <c r="G10" s="111">
        <v>14334</v>
      </c>
      <c r="H10" s="111">
        <v>86830</v>
      </c>
      <c r="I10" s="111">
        <v>2421</v>
      </c>
      <c r="J10" s="44">
        <v>116852</v>
      </c>
      <c r="K10" s="111">
        <v>220437</v>
      </c>
      <c r="L10" s="44"/>
      <c r="M10" s="111">
        <v>470425</v>
      </c>
      <c r="N10" s="4">
        <v>546841</v>
      </c>
      <c r="O10" s="4">
        <v>36124</v>
      </c>
      <c r="P10" s="111">
        <v>1999542</v>
      </c>
      <c r="Q10" s="111">
        <v>3052932</v>
      </c>
      <c r="R10" s="100"/>
      <c r="S10" s="100"/>
      <c r="T10" s="100"/>
      <c r="U10" s="100"/>
      <c r="V10" s="100"/>
      <c r="W10" s="100"/>
    </row>
    <row r="11" spans="1:23" s="107" customFormat="1" x14ac:dyDescent="0.35">
      <c r="A11" s="105">
        <v>2017</v>
      </c>
      <c r="B11" s="104">
        <f t="shared" si="0"/>
        <v>2.395220629691059E-2</v>
      </c>
      <c r="C11" s="104">
        <f t="shared" si="1"/>
        <v>0.12400659966212885</v>
      </c>
      <c r="D11" s="104">
        <f t="shared" si="2"/>
        <v>5.0225018026305975E-2</v>
      </c>
      <c r="E11" s="104">
        <f t="shared" si="3"/>
        <v>5.6011236802447746E-2</v>
      </c>
      <c r="F11" s="105"/>
      <c r="G11" s="111">
        <v>11683</v>
      </c>
      <c r="H11" s="111">
        <v>56595</v>
      </c>
      <c r="I11" s="111">
        <v>2020</v>
      </c>
      <c r="J11" s="44">
        <v>122542</v>
      </c>
      <c r="K11" s="111">
        <v>192840</v>
      </c>
      <c r="L11" s="44"/>
      <c r="M11" s="111">
        <v>487763</v>
      </c>
      <c r="N11" s="112">
        <v>456387</v>
      </c>
      <c r="O11" s="4">
        <v>40219</v>
      </c>
      <c r="P11" s="111">
        <v>2187811</v>
      </c>
      <c r="Q11" s="111">
        <v>3172180</v>
      </c>
      <c r="R11" s="100"/>
      <c r="S11" s="100"/>
      <c r="T11" s="100"/>
      <c r="U11" s="100"/>
      <c r="V11" s="100"/>
      <c r="W11" s="100"/>
    </row>
    <row r="12" spans="1:23" x14ac:dyDescent="0.35">
      <c r="A12" s="105">
        <v>2018</v>
      </c>
      <c r="B12" s="104">
        <f t="shared" si="0"/>
        <v>5.1188984368850034E-2</v>
      </c>
      <c r="C12" s="104">
        <f t="shared" si="1"/>
        <v>0.10649179466227023</v>
      </c>
      <c r="D12" s="104">
        <f t="shared" si="2"/>
        <v>0.10180751585650179</v>
      </c>
      <c r="E12" s="104">
        <f t="shared" si="3"/>
        <v>4.5766915841717229E-2</v>
      </c>
      <c r="F12" s="101"/>
      <c r="G12" s="111">
        <v>24060</v>
      </c>
      <c r="H12" s="111">
        <v>51868</v>
      </c>
      <c r="I12" s="111">
        <v>4061</v>
      </c>
      <c r="J12" s="44">
        <v>93643</v>
      </c>
      <c r="K12" s="111">
        <v>173632</v>
      </c>
      <c r="L12" s="4"/>
      <c r="M12" s="111">
        <v>470023</v>
      </c>
      <c r="N12" s="4">
        <v>487061</v>
      </c>
      <c r="O12" s="4">
        <v>39889</v>
      </c>
      <c r="P12" s="111">
        <v>2046085</v>
      </c>
      <c r="Q12" s="111">
        <v>3043058</v>
      </c>
    </row>
    <row r="13" spans="1:23" x14ac:dyDescent="0.35">
      <c r="A13" s="105">
        <v>2019</v>
      </c>
      <c r="B13" s="104">
        <f t="shared" si="0"/>
        <v>3.7246513326334399E-2</v>
      </c>
      <c r="C13" s="104">
        <f t="shared" si="1"/>
        <v>6.2591536890503188E-2</v>
      </c>
      <c r="D13" s="104">
        <f t="shared" si="2"/>
        <v>8.2306601544036559E-2</v>
      </c>
      <c r="E13" s="104">
        <f t="shared" si="3"/>
        <v>4.8754028121501009E-2</v>
      </c>
      <c r="F13" s="101"/>
      <c r="G13" s="111">
        <v>17952</v>
      </c>
      <c r="H13" s="111">
        <v>30984</v>
      </c>
      <c r="I13" s="111">
        <v>2612</v>
      </c>
      <c r="J13" s="44">
        <v>104982</v>
      </c>
      <c r="K13" s="111">
        <v>156530</v>
      </c>
      <c r="L13" s="4"/>
      <c r="M13" s="111">
        <v>481978</v>
      </c>
      <c r="N13" s="111">
        <v>495019</v>
      </c>
      <c r="O13" s="111">
        <v>31735</v>
      </c>
      <c r="P13" s="111">
        <v>2153299</v>
      </c>
      <c r="Q13" s="111">
        <v>3162031</v>
      </c>
    </row>
    <row r="14" spans="1:23" x14ac:dyDescent="0.35">
      <c r="A14" s="105">
        <v>2020</v>
      </c>
      <c r="B14" s="104">
        <f t="shared" si="0"/>
        <v>0.12137416724669385</v>
      </c>
      <c r="C14" s="104">
        <f t="shared" si="1"/>
        <v>8.489748891563538E-2</v>
      </c>
      <c r="D14" s="104">
        <f t="shared" si="2"/>
        <v>6.0476915271435817E-2</v>
      </c>
      <c r="E14" s="104">
        <f t="shared" si="3"/>
        <v>3.6956206482116075E-2</v>
      </c>
      <c r="F14" s="101"/>
      <c r="G14" s="111">
        <v>61033</v>
      </c>
      <c r="H14" s="111">
        <v>41264</v>
      </c>
      <c r="I14" s="111">
        <v>1788</v>
      </c>
      <c r="J14" s="44">
        <v>93016</v>
      </c>
      <c r="K14" s="111">
        <v>197101</v>
      </c>
      <c r="L14" s="4"/>
      <c r="M14" s="111">
        <v>502850</v>
      </c>
      <c r="N14" s="4">
        <v>486045</v>
      </c>
      <c r="O14" s="4">
        <v>29565</v>
      </c>
      <c r="P14" s="111">
        <v>2516925</v>
      </c>
      <c r="Q14" s="4">
        <v>3535385</v>
      </c>
      <c r="S14" s="40"/>
      <c r="U14" s="106"/>
    </row>
    <row r="15" spans="1:23" x14ac:dyDescent="0.35">
      <c r="A15" s="105"/>
      <c r="B15" s="104"/>
      <c r="C15" s="104"/>
      <c r="D15" s="104"/>
      <c r="E15" s="104"/>
      <c r="F15" s="101"/>
      <c r="G15" s="100"/>
      <c r="H15" s="100"/>
      <c r="I15" s="100"/>
      <c r="J15" s="100"/>
      <c r="K15" s="100"/>
      <c r="M15" s="100"/>
      <c r="P15" s="100"/>
      <c r="Q15" s="100"/>
    </row>
    <row r="16" spans="1:23" x14ac:dyDescent="0.35">
      <c r="A16" s="71" t="s">
        <v>219</v>
      </c>
      <c r="B16" s="101"/>
      <c r="C16" s="101"/>
      <c r="D16" s="46"/>
      <c r="E16" s="46"/>
      <c r="F16" s="46"/>
    </row>
    <row r="17" spans="1:21" x14ac:dyDescent="0.35">
      <c r="A17" s="71"/>
      <c r="B17" s="101"/>
      <c r="C17" s="101"/>
      <c r="D17" s="46"/>
      <c r="E17" s="46"/>
      <c r="F17" s="46"/>
    </row>
    <row r="18" spans="1:21" x14ac:dyDescent="0.35">
      <c r="A18" s="47"/>
      <c r="B18" s="46"/>
      <c r="C18" s="46"/>
      <c r="D18" s="46"/>
      <c r="E18" s="46"/>
      <c r="F18" s="46"/>
      <c r="R18" s="82"/>
      <c r="S18" s="82"/>
    </row>
    <row r="19" spans="1:21" x14ac:dyDescent="0.35">
      <c r="A19" s="71"/>
      <c r="B19" s="101"/>
      <c r="C19" s="101"/>
      <c r="D19" s="101"/>
      <c r="E19" s="101"/>
      <c r="F19" s="101"/>
    </row>
    <row r="20" spans="1:21" x14ac:dyDescent="0.35">
      <c r="A20" s="103"/>
      <c r="B20" s="101"/>
      <c r="C20" s="101"/>
      <c r="D20" s="101"/>
      <c r="E20" s="101"/>
      <c r="F20" s="101"/>
      <c r="U20" s="100"/>
    </row>
    <row r="21" spans="1:21" x14ac:dyDescent="0.35">
      <c r="A21" s="103"/>
      <c r="B21" s="101"/>
      <c r="C21" s="101"/>
      <c r="D21" s="101"/>
      <c r="E21" s="101"/>
      <c r="F21" s="101"/>
      <c r="U21" s="100"/>
    </row>
    <row r="22" spans="1:21" x14ac:dyDescent="0.35">
      <c r="A22" s="103"/>
      <c r="B22" s="46"/>
      <c r="C22" s="46"/>
      <c r="D22" s="46"/>
      <c r="E22" s="101"/>
      <c r="F22" s="46"/>
      <c r="S22" s="102"/>
      <c r="U22" s="100"/>
    </row>
    <row r="23" spans="1:21" x14ac:dyDescent="0.35">
      <c r="A23" s="47"/>
      <c r="B23" s="46"/>
      <c r="C23" s="46"/>
      <c r="D23" s="46"/>
      <c r="E23" s="46"/>
      <c r="F23" s="46"/>
      <c r="S23" s="99"/>
      <c r="U23" s="100"/>
    </row>
    <row r="24" spans="1:21" x14ac:dyDescent="0.35">
      <c r="D24" s="101"/>
      <c r="E24" s="101"/>
      <c r="F24" s="101"/>
      <c r="S24" s="99"/>
      <c r="U24" s="100"/>
    </row>
    <row r="25" spans="1:21" x14ac:dyDescent="0.35">
      <c r="S25" s="99"/>
      <c r="U25" s="100"/>
    </row>
    <row r="26" spans="1:21" x14ac:dyDescent="0.35">
      <c r="S26" s="99"/>
      <c r="U26" s="100"/>
    </row>
    <row r="27" spans="1:21" x14ac:dyDescent="0.35">
      <c r="S27" s="99"/>
      <c r="U27" s="100"/>
    </row>
    <row r="28" spans="1:21" x14ac:dyDescent="0.35">
      <c r="S28" s="99"/>
      <c r="T28" s="98"/>
    </row>
    <row r="29" spans="1:21" x14ac:dyDescent="0.35">
      <c r="S29" s="99"/>
      <c r="T29" s="98"/>
    </row>
  </sheetData>
  <conditionalFormatting sqref="B21:D21 F21">
    <cfRule type="cellIs" dxfId="23" priority="19" stopIfTrue="1" operator="lessThan">
      <formula>0</formula>
    </cfRule>
  </conditionalFormatting>
  <conditionalFormatting sqref="A21">
    <cfRule type="cellIs" dxfId="22" priority="18" stopIfTrue="1" operator="lessThan">
      <formula>0</formula>
    </cfRule>
  </conditionalFormatting>
  <conditionalFormatting sqref="A22">
    <cfRule type="cellIs" dxfId="21" priority="17" stopIfTrue="1" operator="lessThan">
      <formula>0</formula>
    </cfRule>
  </conditionalFormatting>
  <conditionalFormatting sqref="U22">
    <cfRule type="cellIs" dxfId="20" priority="16" stopIfTrue="1" operator="lessThan">
      <formula>0</formula>
    </cfRule>
  </conditionalFormatting>
  <conditionalFormatting sqref="F12:F15">
    <cfRule type="cellIs" dxfId="19" priority="15" stopIfTrue="1" operator="lessThan">
      <formula>0</formula>
    </cfRule>
  </conditionalFormatting>
  <conditionalFormatting sqref="R7">
    <cfRule type="cellIs" dxfId="18" priority="4" stopIfTrue="1" operator="lessThan">
      <formula>0</formula>
    </cfRule>
  </conditionalFormatting>
  <conditionalFormatting sqref="A9 F9">
    <cfRule type="cellIs" dxfId="17" priority="14" stopIfTrue="1" operator="lessThan">
      <formula>0</formula>
    </cfRule>
  </conditionalFormatting>
  <conditionalFormatting sqref="A7 F7">
    <cfRule type="cellIs" dxfId="16" priority="13" stopIfTrue="1" operator="lessThan">
      <formula>0</formula>
    </cfRule>
  </conditionalFormatting>
  <conditionalFormatting sqref="V9">
    <cfRule type="cellIs" dxfId="15" priority="12" stopIfTrue="1" operator="lessThan">
      <formula>0</formula>
    </cfRule>
  </conditionalFormatting>
  <conditionalFormatting sqref="V7">
    <cfRule type="cellIs" dxfId="14" priority="11" stopIfTrue="1" operator="lessThan">
      <formula>0</formula>
    </cfRule>
  </conditionalFormatting>
  <conditionalFormatting sqref="U7">
    <cfRule type="cellIs" dxfId="13" priority="10" stopIfTrue="1" operator="lessThan">
      <formula>0</formula>
    </cfRule>
  </conditionalFormatting>
  <conditionalFormatting sqref="U9">
    <cfRule type="cellIs" dxfId="12" priority="9" stopIfTrue="1" operator="lessThan">
      <formula>0</formula>
    </cfRule>
  </conditionalFormatting>
  <conditionalFormatting sqref="U10">
    <cfRule type="cellIs" dxfId="11" priority="8" stopIfTrue="1" operator="lessThan">
      <formula>0</formula>
    </cfRule>
  </conditionalFormatting>
  <conditionalFormatting sqref="W7">
    <cfRule type="cellIs" dxfId="10" priority="7" stopIfTrue="1" operator="lessThan">
      <formula>0</formula>
    </cfRule>
  </conditionalFormatting>
  <conditionalFormatting sqref="W9">
    <cfRule type="cellIs" dxfId="9" priority="6" stopIfTrue="1" operator="lessThan">
      <formula>0</formula>
    </cfRule>
  </conditionalFormatting>
  <conditionalFormatting sqref="W10">
    <cfRule type="cellIs" dxfId="8" priority="5" stopIfTrue="1" operator="lessThan">
      <formula>0</formula>
    </cfRule>
  </conditionalFormatting>
  <conditionalFormatting sqref="R9">
    <cfRule type="cellIs" dxfId="7" priority="3" stopIfTrue="1" operator="lessThan">
      <formula>0</formula>
    </cfRule>
  </conditionalFormatting>
  <conditionalFormatting sqref="R10">
    <cfRule type="cellIs" dxfId="6" priority="2" stopIfTrue="1" operator="lessThan">
      <formula>0</formula>
    </cfRule>
  </conditionalFormatting>
  <conditionalFormatting sqref="R11">
    <cfRule type="cellIs" dxfId="5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="48" zoomScaleNormal="48" workbookViewId="0">
      <pane xSplit="1" ySplit="3" topLeftCell="B35" activePane="bottomRight" state="frozen"/>
      <selection pane="topRight" activeCell="B1" sqref="B1"/>
      <selection pane="bottomLeft" activeCell="A4" sqref="A4"/>
      <selection pane="bottomRight" activeCell="S35" sqref="S35"/>
    </sheetView>
  </sheetViews>
  <sheetFormatPr defaultRowHeight="14.5" x14ac:dyDescent="0.35"/>
  <sheetData>
    <row r="1" spans="1:7" ht="26" x14ac:dyDescent="0.6">
      <c r="A1" s="113" t="s">
        <v>228</v>
      </c>
      <c r="B1" s="113"/>
      <c r="C1" s="47"/>
      <c r="D1" s="47"/>
      <c r="E1" s="47"/>
      <c r="F1" s="47"/>
      <c r="G1" s="47"/>
    </row>
    <row r="2" spans="1:7" x14ac:dyDescent="0.35">
      <c r="A2" s="71"/>
      <c r="B2" s="71"/>
      <c r="C2" s="47" t="s">
        <v>229</v>
      </c>
      <c r="D2" s="47"/>
      <c r="E2" s="47"/>
      <c r="F2" s="47"/>
      <c r="G2" s="47"/>
    </row>
    <row r="3" spans="1:7" x14ac:dyDescent="0.35">
      <c r="A3" s="49"/>
      <c r="B3" s="49"/>
      <c r="C3" s="114" t="s">
        <v>13</v>
      </c>
      <c r="D3" s="114" t="s">
        <v>105</v>
      </c>
      <c r="E3" s="114" t="s">
        <v>107</v>
      </c>
      <c r="F3" s="114" t="s">
        <v>109</v>
      </c>
      <c r="G3" s="114"/>
    </row>
    <row r="4" spans="1:7" x14ac:dyDescent="0.35">
      <c r="A4" s="71">
        <v>2010</v>
      </c>
      <c r="B4" s="71">
        <v>1</v>
      </c>
      <c r="C4" s="115">
        <v>15.969786296118833</v>
      </c>
      <c r="D4" s="115">
        <v>45.413660757067568</v>
      </c>
      <c r="E4" s="115">
        <v>3.72259607091519</v>
      </c>
      <c r="F4" s="115">
        <v>90.805532343076194</v>
      </c>
      <c r="G4" s="115"/>
    </row>
    <row r="5" spans="1:7" x14ac:dyDescent="0.35">
      <c r="A5" s="71"/>
      <c r="B5" s="71">
        <v>2</v>
      </c>
      <c r="C5" s="115">
        <v>31.16324537256763</v>
      </c>
      <c r="D5" s="115">
        <v>47.281936402467963</v>
      </c>
      <c r="E5" s="115">
        <v>7.3994238253440905</v>
      </c>
      <c r="F5" s="115">
        <v>92.33923113431419</v>
      </c>
      <c r="G5" s="115"/>
    </row>
    <row r="6" spans="1:7" x14ac:dyDescent="0.35">
      <c r="A6" s="71"/>
      <c r="B6" s="71">
        <v>3</v>
      </c>
      <c r="C6" s="115">
        <v>28.165158192090399</v>
      </c>
      <c r="D6" s="115">
        <v>46.343559322033904</v>
      </c>
      <c r="E6" s="115">
        <v>5.4825056497175151</v>
      </c>
      <c r="F6" s="115">
        <v>103.06089548022599</v>
      </c>
      <c r="G6" s="115"/>
    </row>
    <row r="7" spans="1:7" x14ac:dyDescent="0.35">
      <c r="A7" s="71"/>
      <c r="B7" s="71">
        <v>4</v>
      </c>
      <c r="C7" s="115">
        <v>46.167696202531644</v>
      </c>
      <c r="D7" s="115">
        <v>60.628720112517577</v>
      </c>
      <c r="E7" s="115">
        <v>5.9136371308016882</v>
      </c>
      <c r="F7" s="115">
        <v>98.970604781997181</v>
      </c>
      <c r="G7" s="115"/>
    </row>
    <row r="8" spans="1:7" x14ac:dyDescent="0.35">
      <c r="A8" s="71">
        <v>2011</v>
      </c>
      <c r="B8" s="71">
        <v>1</v>
      </c>
      <c r="C8" s="115">
        <v>32.213914087759818</v>
      </c>
      <c r="D8" s="115">
        <v>48.913834642032334</v>
      </c>
      <c r="E8" s="115">
        <v>1.9937792147806006</v>
      </c>
      <c r="F8" s="115">
        <v>110.29767575057737</v>
      </c>
      <c r="G8" s="115"/>
    </row>
    <row r="9" spans="1:7" x14ac:dyDescent="0.35">
      <c r="A9" s="71"/>
      <c r="B9" s="71">
        <v>2</v>
      </c>
      <c r="C9" s="115">
        <v>34.883229931972792</v>
      </c>
      <c r="D9" s="115">
        <v>48.759423129251708</v>
      </c>
      <c r="E9" s="115">
        <v>1.3246394557823129</v>
      </c>
      <c r="F9" s="115">
        <v>96.221175510204091</v>
      </c>
      <c r="G9" s="115"/>
    </row>
    <row r="10" spans="1:7" x14ac:dyDescent="0.35">
      <c r="A10" s="71"/>
      <c r="B10" s="71">
        <v>3</v>
      </c>
      <c r="C10" s="115">
        <v>38.357702545779361</v>
      </c>
      <c r="D10" s="115">
        <v>54.321330951317556</v>
      </c>
      <c r="E10" s="115">
        <v>5.9820643144260828</v>
      </c>
      <c r="F10" s="115">
        <v>144.18352925413132</v>
      </c>
      <c r="G10" s="115"/>
    </row>
    <row r="11" spans="1:7" x14ac:dyDescent="0.35">
      <c r="A11" s="71"/>
      <c r="B11" s="71">
        <v>4</v>
      </c>
      <c r="C11" s="115">
        <v>39.503009708737856</v>
      </c>
      <c r="D11" s="115">
        <v>64.532388349514562</v>
      </c>
      <c r="E11" s="115">
        <v>3.5736407766990288</v>
      </c>
      <c r="F11" s="115">
        <v>125.48959223300969</v>
      </c>
      <c r="G11" s="115"/>
    </row>
    <row r="12" spans="1:7" x14ac:dyDescent="0.35">
      <c r="A12" s="71">
        <v>2012</v>
      </c>
      <c r="B12" s="71">
        <v>1</v>
      </c>
      <c r="C12" s="115">
        <v>32.244287081339721</v>
      </c>
      <c r="D12" s="115">
        <v>59.755090909090917</v>
      </c>
      <c r="E12" s="115">
        <v>1.8304019138755985</v>
      </c>
      <c r="F12" s="115">
        <v>106.44783732057418</v>
      </c>
      <c r="G12" s="115"/>
    </row>
    <row r="13" spans="1:7" x14ac:dyDescent="0.35">
      <c r="A13" s="71"/>
      <c r="B13" s="71">
        <v>2</v>
      </c>
      <c r="C13" s="115">
        <v>38.166267352185088</v>
      </c>
      <c r="D13" s="115">
        <v>55.596318766066844</v>
      </c>
      <c r="E13" s="115">
        <v>4.5695809768637536</v>
      </c>
      <c r="F13" s="115">
        <v>115.777205655527</v>
      </c>
      <c r="G13" s="115"/>
    </row>
    <row r="14" spans="1:7" x14ac:dyDescent="0.35">
      <c r="A14" s="71"/>
      <c r="B14" s="71">
        <v>3</v>
      </c>
      <c r="C14" s="115">
        <v>17.320670063694269</v>
      </c>
      <c r="D14" s="115">
        <v>57.101322292993636</v>
      </c>
      <c r="E14" s="115">
        <v>7.0361044585987278</v>
      </c>
      <c r="F14" s="115">
        <v>142.85802292993634</v>
      </c>
      <c r="G14" s="115"/>
    </row>
    <row r="15" spans="1:7" x14ac:dyDescent="0.35">
      <c r="A15" s="71"/>
      <c r="B15" s="71">
        <v>4</v>
      </c>
      <c r="C15" s="115">
        <v>7.2194630480167028</v>
      </c>
      <c r="D15" s="115">
        <v>55.721168267223398</v>
      </c>
      <c r="E15" s="115">
        <v>6.5110997912317332</v>
      </c>
      <c r="F15" s="115">
        <v>114.67159665970775</v>
      </c>
      <c r="G15" s="115"/>
    </row>
    <row r="16" spans="1:7" x14ac:dyDescent="0.35">
      <c r="A16" s="71">
        <v>2013</v>
      </c>
      <c r="B16" s="71">
        <v>1</v>
      </c>
      <c r="C16" s="115">
        <v>22.234512946979038</v>
      </c>
      <c r="D16" s="115">
        <v>55.243383477188644</v>
      </c>
      <c r="E16" s="115">
        <v>0.88851787916152891</v>
      </c>
      <c r="F16" s="115">
        <v>62.844668310727485</v>
      </c>
      <c r="G16" s="115"/>
    </row>
    <row r="17" spans="1:7" x14ac:dyDescent="0.35">
      <c r="A17" s="71"/>
      <c r="B17" s="71">
        <v>2</v>
      </c>
      <c r="C17" s="115">
        <v>10.071118052738337</v>
      </c>
      <c r="D17" s="115">
        <v>48.251113995943207</v>
      </c>
      <c r="E17" s="115">
        <v>7.750943610547667</v>
      </c>
      <c r="F17" s="115">
        <v>118.42255496957404</v>
      </c>
      <c r="G17" s="115"/>
    </row>
    <row r="18" spans="1:7" x14ac:dyDescent="0.35">
      <c r="A18" s="71"/>
      <c r="B18" s="71">
        <v>3</v>
      </c>
      <c r="C18" s="115">
        <v>0.13695725129844186</v>
      </c>
      <c r="D18" s="115">
        <v>69.374437874550537</v>
      </c>
      <c r="E18" s="115">
        <v>8.1112233320015985</v>
      </c>
      <c r="F18" s="115">
        <v>149.65933759488613</v>
      </c>
      <c r="G18" s="115"/>
    </row>
    <row r="19" spans="1:7" x14ac:dyDescent="0.35">
      <c r="A19" s="71"/>
      <c r="B19" s="71">
        <v>4</v>
      </c>
      <c r="C19" s="115">
        <v>-2.0732995245641841</v>
      </c>
      <c r="D19" s="115">
        <v>58.652479397781299</v>
      </c>
      <c r="E19" s="115">
        <v>5.6974160063391448</v>
      </c>
      <c r="F19" s="115">
        <v>150.27263866877973</v>
      </c>
      <c r="G19" s="115"/>
    </row>
    <row r="20" spans="1:7" x14ac:dyDescent="0.35">
      <c r="A20" s="71">
        <v>2014</v>
      </c>
      <c r="B20" s="71">
        <v>1</v>
      </c>
      <c r="C20" s="115">
        <v>26.548679347826088</v>
      </c>
      <c r="D20" s="115">
        <v>55.648888975155288</v>
      </c>
      <c r="E20" s="115">
        <v>2.7973136645962735</v>
      </c>
      <c r="F20" s="115">
        <v>88.350300465838515</v>
      </c>
      <c r="G20" s="115"/>
    </row>
    <row r="21" spans="1:7" x14ac:dyDescent="0.35">
      <c r="A21" s="71"/>
      <c r="B21" s="71">
        <v>2</v>
      </c>
      <c r="C21" s="115">
        <v>12.587742009132423</v>
      </c>
      <c r="D21" s="115">
        <v>41.030954337899558</v>
      </c>
      <c r="E21" s="115">
        <v>3.0627465753424667</v>
      </c>
      <c r="F21" s="115">
        <v>122.60303652968041</v>
      </c>
      <c r="G21" s="115"/>
    </row>
    <row r="22" spans="1:7" x14ac:dyDescent="0.35">
      <c r="A22" s="71"/>
      <c r="B22" s="71">
        <v>3</v>
      </c>
      <c r="C22" s="115">
        <v>15.804074380165289</v>
      </c>
      <c r="D22" s="115">
        <v>53.404289256198354</v>
      </c>
      <c r="E22" s="115">
        <v>2.6951157024793391</v>
      </c>
      <c r="F22" s="115">
        <v>165.1392396694215</v>
      </c>
      <c r="G22" s="115"/>
    </row>
    <row r="23" spans="1:7" x14ac:dyDescent="0.35">
      <c r="A23" s="71"/>
      <c r="B23" s="71">
        <v>4</v>
      </c>
      <c r="C23" s="115">
        <v>4.4131439280359821</v>
      </c>
      <c r="D23" s="115">
        <v>44.037040479760122</v>
      </c>
      <c r="E23" s="115">
        <v>2.9512736131934036</v>
      </c>
      <c r="F23" s="115">
        <v>140.43394902548727</v>
      </c>
      <c r="G23" s="115"/>
    </row>
    <row r="24" spans="1:7" x14ac:dyDescent="0.35">
      <c r="A24" s="71">
        <v>2015</v>
      </c>
      <c r="B24" s="71">
        <v>1</v>
      </c>
      <c r="C24" s="115">
        <v>-0.13293442622950824</v>
      </c>
      <c r="D24" s="115">
        <v>44.943565573770499</v>
      </c>
      <c r="E24" s="115">
        <v>6.4772950819672142</v>
      </c>
      <c r="F24" s="115">
        <v>125.3754098360656</v>
      </c>
      <c r="G24" s="115"/>
    </row>
    <row r="25" spans="1:7" x14ac:dyDescent="0.35">
      <c r="A25" s="71"/>
      <c r="B25" s="71">
        <v>2</v>
      </c>
      <c r="C25" s="115">
        <v>-15.170313911143481</v>
      </c>
      <c r="D25" s="115">
        <v>56.178185724690458</v>
      </c>
      <c r="E25" s="115">
        <v>7.5794246176256372</v>
      </c>
      <c r="F25" s="115">
        <v>101.42926147123087</v>
      </c>
      <c r="G25" s="115"/>
    </row>
    <row r="26" spans="1:7" x14ac:dyDescent="0.35">
      <c r="A26" s="71"/>
      <c r="B26" s="71">
        <v>3</v>
      </c>
      <c r="C26" s="115">
        <v>-7.932403162055337</v>
      </c>
      <c r="D26" s="115">
        <v>54.379256916996056</v>
      </c>
      <c r="E26" s="115">
        <v>8.1247114624505947</v>
      </c>
      <c r="F26" s="115">
        <v>129.74525691699606</v>
      </c>
      <c r="G26" s="115"/>
    </row>
    <row r="27" spans="1:7" x14ac:dyDescent="0.35">
      <c r="A27" s="71"/>
      <c r="B27" s="71">
        <v>4</v>
      </c>
      <c r="C27" s="115">
        <v>-17.187240343347639</v>
      </c>
      <c r="D27" s="115">
        <v>39.961772532188846</v>
      </c>
      <c r="E27" s="115">
        <v>5.219476394849786</v>
      </c>
      <c r="F27" s="115">
        <v>125.02722746781117</v>
      </c>
      <c r="G27" s="115"/>
    </row>
    <row r="28" spans="1:7" x14ac:dyDescent="0.35">
      <c r="A28" s="71">
        <v>2016</v>
      </c>
      <c r="B28" s="71">
        <v>1</v>
      </c>
      <c r="C28" s="115">
        <v>-1.5092769230769232</v>
      </c>
      <c r="D28" s="115">
        <v>45.055707692307699</v>
      </c>
      <c r="E28" s="115">
        <v>7.3800461538461537</v>
      </c>
      <c r="F28" s="115">
        <v>87.498923076923077</v>
      </c>
      <c r="G28" s="115"/>
    </row>
    <row r="29" spans="1:7" x14ac:dyDescent="0.35">
      <c r="A29" s="71"/>
      <c r="B29" s="71">
        <v>2</v>
      </c>
      <c r="C29" s="115">
        <v>13.012559999999999</v>
      </c>
      <c r="D29" s="115">
        <v>51.655593846153849</v>
      </c>
      <c r="E29" s="115">
        <v>1.2784143589743588</v>
      </c>
      <c r="F29" s="115">
        <v>112.19431384615385</v>
      </c>
      <c r="G29" s="115"/>
    </row>
    <row r="30" spans="1:7" x14ac:dyDescent="0.35">
      <c r="A30" s="71"/>
      <c r="B30" s="71">
        <v>3</v>
      </c>
      <c r="C30" s="115">
        <v>16.933580547112463</v>
      </c>
      <c r="D30" s="115">
        <v>102.57728470111449</v>
      </c>
      <c r="E30" s="115">
        <v>2.8600668693009119</v>
      </c>
      <c r="F30" s="115">
        <v>138.0440040526849</v>
      </c>
      <c r="G30" s="115"/>
    </row>
    <row r="31" spans="1:7" x14ac:dyDescent="0.35">
      <c r="A31" s="71"/>
      <c r="B31" s="71">
        <v>4</v>
      </c>
      <c r="C31" s="115">
        <v>27.754622950819677</v>
      </c>
      <c r="D31" s="115">
        <v>47.430726664436278</v>
      </c>
      <c r="E31" s="115">
        <v>2.6624121779859489</v>
      </c>
      <c r="F31" s="115">
        <v>122.59735162261627</v>
      </c>
      <c r="G31" s="115"/>
    </row>
    <row r="32" spans="1:7" x14ac:dyDescent="0.35">
      <c r="A32" s="71">
        <v>2017</v>
      </c>
      <c r="B32" s="71">
        <v>1</v>
      </c>
      <c r="C32" s="115">
        <v>15.978220689655174</v>
      </c>
      <c r="D32" s="115">
        <v>34.203432512315274</v>
      </c>
      <c r="E32" s="115">
        <v>1.6565241379310347</v>
      </c>
      <c r="F32" s="115">
        <v>84.103637438423661</v>
      </c>
      <c r="G32" s="115"/>
    </row>
    <row r="33" spans="1:7" x14ac:dyDescent="0.35">
      <c r="A33" s="71"/>
      <c r="B33" s="71">
        <v>2</v>
      </c>
      <c r="C33" s="115">
        <v>-11.118642857142857</v>
      </c>
      <c r="D33" s="115">
        <v>52.597199999999994</v>
      </c>
      <c r="E33" s="115">
        <v>0.98466428571428566</v>
      </c>
      <c r="F33" s="115">
        <v>261.80031428571425</v>
      </c>
      <c r="G33" s="47"/>
    </row>
    <row r="34" spans="1:7" x14ac:dyDescent="0.35">
      <c r="A34" s="71"/>
      <c r="B34" s="71">
        <v>3</v>
      </c>
      <c r="C34" s="115">
        <v>13.170201095713827</v>
      </c>
      <c r="D34" s="115">
        <v>63.799326458266194</v>
      </c>
      <c r="E34" s="115">
        <v>2.2771382533032551</v>
      </c>
      <c r="F34" s="115">
        <v>138.14112665162745</v>
      </c>
      <c r="G34" s="47"/>
    </row>
    <row r="35" spans="1:7" x14ac:dyDescent="0.35">
      <c r="A35" s="71"/>
      <c r="B35" s="71">
        <v>4</v>
      </c>
      <c r="C35" s="115">
        <v>11.63727603833866</v>
      </c>
      <c r="D35" s="115">
        <v>59.26036677316295</v>
      </c>
      <c r="E35" s="115">
        <v>4.2165987220447283</v>
      </c>
      <c r="F35" s="115">
        <v>170.10338146964855</v>
      </c>
      <c r="G35" s="47"/>
    </row>
    <row r="36" spans="1:7" x14ac:dyDescent="0.35">
      <c r="A36" s="71">
        <v>2018</v>
      </c>
      <c r="B36" s="71">
        <v>1</v>
      </c>
      <c r="C36" s="115">
        <v>19.011685173501579</v>
      </c>
      <c r="D36" s="115">
        <v>34.088396214511043</v>
      </c>
      <c r="E36" s="115">
        <v>7.0875880126182977</v>
      </c>
      <c r="F36" s="115">
        <v>94.196615772870672</v>
      </c>
      <c r="G36" s="47"/>
    </row>
    <row r="37" spans="1:7" x14ac:dyDescent="0.35">
      <c r="A37" s="71"/>
      <c r="B37" s="71">
        <v>2</v>
      </c>
      <c r="C37" s="115">
        <v>-7.0438284648850233</v>
      </c>
      <c r="D37" s="115">
        <v>31.00154133001865</v>
      </c>
      <c r="E37" s="115">
        <v>2.0544499689247981</v>
      </c>
      <c r="F37" s="115">
        <v>91.88391609695465</v>
      </c>
      <c r="G37" s="47"/>
    </row>
    <row r="38" spans="1:7" x14ac:dyDescent="0.35">
      <c r="A38" s="71"/>
      <c r="B38" s="71">
        <v>3</v>
      </c>
      <c r="C38" s="115">
        <v>25.832375690607734</v>
      </c>
      <c r="D38" s="115">
        <v>55.688847145488026</v>
      </c>
      <c r="E38" s="115">
        <v>4.3601528545119699</v>
      </c>
      <c r="F38" s="115">
        <v>100.54119521178637</v>
      </c>
      <c r="G38" s="47"/>
    </row>
    <row r="39" spans="1:7" x14ac:dyDescent="0.35">
      <c r="A39" s="71"/>
      <c r="B39" s="71">
        <v>4</v>
      </c>
      <c r="C39" s="115">
        <v>9.564910648714811</v>
      </c>
      <c r="D39" s="115">
        <v>43.684325581395349</v>
      </c>
      <c r="E39" s="115">
        <v>3.2807129742962058</v>
      </c>
      <c r="F39" s="115">
        <v>88.3758782129743</v>
      </c>
      <c r="G39" s="47"/>
    </row>
    <row r="40" spans="1:7" x14ac:dyDescent="0.35">
      <c r="A40" s="71">
        <v>2019</v>
      </c>
      <c r="B40" s="71">
        <v>1</v>
      </c>
      <c r="C40" s="115">
        <v>22.332977293369666</v>
      </c>
      <c r="D40" s="115">
        <v>33.421097184377842</v>
      </c>
      <c r="E40" s="115">
        <v>2.7217257039055403</v>
      </c>
      <c r="F40" s="115">
        <v>88.487856494096278</v>
      </c>
      <c r="G40" s="47"/>
    </row>
    <row r="41" spans="1:7" x14ac:dyDescent="0.35">
      <c r="A41" s="71"/>
      <c r="B41" s="71">
        <v>2</v>
      </c>
      <c r="C41" s="115">
        <v>22.464840821184172</v>
      </c>
      <c r="D41" s="115">
        <v>33.271069324605769</v>
      </c>
      <c r="E41" s="115">
        <v>2.5196840226123176</v>
      </c>
      <c r="F41" s="115">
        <v>101.30670098185064</v>
      </c>
      <c r="G41" s="47"/>
    </row>
    <row r="42" spans="1:7" x14ac:dyDescent="0.35">
      <c r="A42" s="71"/>
      <c r="B42" s="71">
        <v>3</v>
      </c>
      <c r="C42" s="115">
        <v>18.507543766578255</v>
      </c>
      <c r="D42" s="115">
        <v>31.942832891246692</v>
      </c>
      <c r="E42" s="115">
        <v>2.6928311229000892</v>
      </c>
      <c r="F42" s="115">
        <v>108.23077984084883</v>
      </c>
      <c r="G42" s="47"/>
    </row>
    <row r="43" spans="1:7" x14ac:dyDescent="0.35">
      <c r="A43" s="71"/>
      <c r="B43" s="71">
        <v>4</v>
      </c>
      <c r="C43" s="115">
        <v>20.842207220428531</v>
      </c>
      <c r="D43" s="115">
        <v>24.132811857939537</v>
      </c>
      <c r="E43" s="115">
        <v>0.93327913120046968</v>
      </c>
      <c r="F43" s="115">
        <v>78.500171411799244</v>
      </c>
      <c r="G43" s="47"/>
    </row>
    <row r="44" spans="1:7" x14ac:dyDescent="0.35">
      <c r="A44" s="71">
        <v>2020</v>
      </c>
      <c r="B44" s="71">
        <v>1</v>
      </c>
      <c r="C44" s="115">
        <v>35.233551754131639</v>
      </c>
      <c r="D44" s="115">
        <v>13.424044070745145</v>
      </c>
      <c r="E44" s="115">
        <v>0.98073818498115417</v>
      </c>
      <c r="F44" s="115">
        <v>35.711243258915637</v>
      </c>
      <c r="G44" s="47"/>
    </row>
    <row r="45" spans="1:7" x14ac:dyDescent="0.35">
      <c r="A45" s="71"/>
      <c r="B45" s="71">
        <v>2</v>
      </c>
      <c r="C45" s="115">
        <v>21.203449157466586</v>
      </c>
      <c r="D45" s="115">
        <v>-4.1250383497966299</v>
      </c>
      <c r="E45" s="115">
        <v>1.7520488088320743</v>
      </c>
      <c r="F45" s="115">
        <v>18.14651016850668</v>
      </c>
      <c r="G45" s="47"/>
    </row>
    <row r="46" spans="1:7" x14ac:dyDescent="0.35">
      <c r="A46" s="71"/>
      <c r="B46" s="71">
        <v>3</v>
      </c>
      <c r="C46" s="115">
        <v>61.033000000000001</v>
      </c>
      <c r="D46" s="115">
        <v>41.264000000000003</v>
      </c>
      <c r="E46" s="115">
        <v>1.788</v>
      </c>
      <c r="F46" s="115">
        <v>93.016000000000005</v>
      </c>
      <c r="G46" s="47"/>
    </row>
    <row r="47" spans="1:7" x14ac:dyDescent="0.35">
      <c r="A47" s="71"/>
      <c r="B47" s="71"/>
      <c r="C47" s="115"/>
      <c r="D47" s="115"/>
      <c r="E47" s="115"/>
      <c r="F47" s="115"/>
      <c r="G47" s="47"/>
    </row>
    <row r="48" spans="1:7" x14ac:dyDescent="0.35">
      <c r="A48" s="71"/>
      <c r="B48" s="71"/>
      <c r="C48" s="115"/>
      <c r="D48" s="115"/>
      <c r="E48" s="115"/>
      <c r="F48" s="115"/>
      <c r="G48" s="47"/>
    </row>
    <row r="49" spans="1:7" x14ac:dyDescent="0.35">
      <c r="A49" s="71" t="s">
        <v>219</v>
      </c>
      <c r="B49" s="71"/>
      <c r="C49" s="101"/>
      <c r="D49" s="101"/>
      <c r="E49" s="46"/>
      <c r="F49" s="46"/>
      <c r="G49" s="46"/>
    </row>
    <row r="50" spans="1:7" x14ac:dyDescent="0.35">
      <c r="A50" s="71"/>
      <c r="B50" s="71"/>
      <c r="C50" s="47"/>
      <c r="D50" s="47"/>
      <c r="E50" s="47"/>
      <c r="F50" s="47"/>
      <c r="G50" s="47"/>
    </row>
  </sheetData>
  <conditionalFormatting sqref="A1:B2 A50:B50 A47:B48 B44:B46">
    <cfRule type="cellIs" dxfId="4" priority="12" stopIfTrue="1" operator="lessThan">
      <formula>0</formula>
    </cfRule>
  </conditionalFormatting>
  <conditionalFormatting sqref="A6:B6 A10 A14 A18 A22 A26 A30 A34 A38 A42 A46">
    <cfRule type="cellIs" dxfId="3" priority="6" stopIfTrue="1" operator="lessThan">
      <formula>0</formula>
    </cfRule>
  </conditionalFormatting>
  <conditionalFormatting sqref="B10">
    <cfRule type="cellIs" dxfId="2" priority="3" stopIfTrue="1" operator="lessThan">
      <formula>0</formula>
    </cfRule>
  </conditionalFormatting>
  <conditionalFormatting sqref="B14">
    <cfRule type="cellIs" dxfId="1" priority="2" stopIfTrue="1" operator="lessThan">
      <formula>0</formula>
    </cfRule>
  </conditionalFormatting>
  <conditionalFormatting sqref="B18 B22 B26 B30 B34 B38 B4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48" zoomScaleNormal="48" workbookViewId="0">
      <pane xSplit="1" ySplit="5" topLeftCell="B6" activePane="bottomRight" state="frozen"/>
      <selection activeCell="F9" sqref="F9"/>
      <selection pane="topRight" activeCell="F9" sqref="F9"/>
      <selection pane="bottomLeft" activeCell="F9" sqref="F9"/>
      <selection pane="bottomRight"/>
    </sheetView>
  </sheetViews>
  <sheetFormatPr defaultRowHeight="14.5" x14ac:dyDescent="0.35"/>
  <cols>
    <col min="1" max="1" width="19.453125" customWidth="1"/>
    <col min="2" max="5" width="16.26953125" customWidth="1"/>
  </cols>
  <sheetData>
    <row r="1" spans="1:10" ht="26" x14ac:dyDescent="0.6">
      <c r="A1" s="1" t="s">
        <v>20</v>
      </c>
      <c r="B1" s="1"/>
      <c r="C1" s="1"/>
      <c r="D1" s="1"/>
      <c r="E1" s="1"/>
    </row>
    <row r="2" spans="1:10" x14ac:dyDescent="0.35">
      <c r="A2" t="s">
        <v>19</v>
      </c>
    </row>
    <row r="3" spans="1:10" x14ac:dyDescent="0.35">
      <c r="A3" t="s">
        <v>18</v>
      </c>
    </row>
    <row r="4" spans="1:10" ht="15" customHeight="1" x14ac:dyDescent="0.35"/>
    <row r="5" spans="1:10" x14ac:dyDescent="0.35">
      <c r="A5" s="19"/>
      <c r="B5" s="19" t="s">
        <v>17</v>
      </c>
      <c r="C5" s="19" t="s">
        <v>16</v>
      </c>
      <c r="D5" s="19" t="s">
        <v>15</v>
      </c>
      <c r="E5" s="19" t="s">
        <v>21</v>
      </c>
      <c r="F5" s="18" t="s">
        <v>22</v>
      </c>
      <c r="G5" s="18"/>
      <c r="H5" s="18"/>
      <c r="I5" s="18"/>
      <c r="J5" s="18"/>
    </row>
    <row r="6" spans="1:10" x14ac:dyDescent="0.35">
      <c r="A6" s="17" t="s">
        <v>14</v>
      </c>
      <c r="B6" s="16">
        <v>7.9648860276970934E-2</v>
      </c>
      <c r="C6" s="16">
        <v>4.5838662782438533E-2</v>
      </c>
      <c r="D6" s="16">
        <v>4.3301480624667876E-2</v>
      </c>
      <c r="E6" s="16">
        <v>1.4454177817773139E-2</v>
      </c>
      <c r="F6" s="21">
        <v>0.1306409460845579</v>
      </c>
      <c r="G6" s="14"/>
      <c r="H6" s="14"/>
      <c r="I6" s="14"/>
      <c r="J6" s="14"/>
    </row>
    <row r="7" spans="1:10" x14ac:dyDescent="0.35">
      <c r="A7" t="s">
        <v>13</v>
      </c>
      <c r="B7" s="16">
        <v>-5.8855876470511048E-2</v>
      </c>
      <c r="C7" s="16">
        <v>-0.27280342734364749</v>
      </c>
      <c r="D7" s="16">
        <v>0.40374453027139867</v>
      </c>
      <c r="E7" s="9">
        <v>-3.5587900574861608E-3</v>
      </c>
      <c r="F7" s="21">
        <v>-0.10922600641921898</v>
      </c>
      <c r="G7" s="14"/>
      <c r="H7" s="14"/>
      <c r="I7" s="14"/>
      <c r="J7" s="14"/>
    </row>
    <row r="8" spans="1:10" ht="29" x14ac:dyDescent="0.35">
      <c r="A8" s="17" t="s">
        <v>12</v>
      </c>
      <c r="B8" s="16">
        <v>-2.1897563314866808E-2</v>
      </c>
      <c r="C8" s="16">
        <v>-0.29192688431531288</v>
      </c>
      <c r="D8" s="16">
        <v>0.32708538501846074</v>
      </c>
      <c r="E8" s="16">
        <v>4.891834880445689E-2</v>
      </c>
      <c r="F8" s="21">
        <v>-0.11585347897724818</v>
      </c>
      <c r="G8" s="14"/>
      <c r="H8" s="14"/>
      <c r="I8" s="14"/>
      <c r="J8" s="14"/>
    </row>
    <row r="9" spans="1:10" ht="29" x14ac:dyDescent="0.35">
      <c r="A9" s="17" t="s">
        <v>11</v>
      </c>
      <c r="B9" s="16">
        <v>-1.2902765409825601E-2</v>
      </c>
      <c r="C9" s="16">
        <v>-0.22826253361896998</v>
      </c>
      <c r="D9" s="16">
        <v>0.13368690269634631</v>
      </c>
      <c r="E9" s="16">
        <v>1.747610935388022E-2</v>
      </c>
      <c r="F9" s="21">
        <v>-0.14472014079110673</v>
      </c>
      <c r="G9" s="14"/>
      <c r="H9" s="14"/>
      <c r="I9" s="14"/>
      <c r="J9" s="14"/>
    </row>
    <row r="10" spans="1:10" x14ac:dyDescent="0.35">
      <c r="A10" t="s">
        <v>10</v>
      </c>
      <c r="B10" s="16">
        <v>-1.8141062294541044E-3</v>
      </c>
      <c r="C10" s="16">
        <v>-0.24574152239622082</v>
      </c>
      <c r="D10" s="16">
        <v>0.24075244909732674</v>
      </c>
      <c r="E10" s="9">
        <v>2.3672843249121556E-2</v>
      </c>
      <c r="F10" s="21">
        <v>-9.1308951435174257E-2</v>
      </c>
      <c r="G10" s="14"/>
      <c r="H10" s="14"/>
      <c r="I10" s="14"/>
      <c r="J10" s="14"/>
    </row>
    <row r="11" spans="1:10" ht="29" x14ac:dyDescent="0.35">
      <c r="A11" s="17" t="s">
        <v>9</v>
      </c>
      <c r="B11" s="16">
        <v>1.3357518651662126E-3</v>
      </c>
      <c r="C11" s="16">
        <v>-0.25602225801852097</v>
      </c>
      <c r="D11" s="16">
        <v>0.15719384160150796</v>
      </c>
      <c r="E11" s="16">
        <v>1.6308612110639054E-2</v>
      </c>
      <c r="F11" s="21">
        <v>-0.14799131153785183</v>
      </c>
      <c r="G11" s="14"/>
      <c r="H11" s="14"/>
      <c r="I11" s="14"/>
      <c r="J11" s="14"/>
    </row>
    <row r="12" spans="1:10" ht="29" x14ac:dyDescent="0.35">
      <c r="A12" s="17" t="s">
        <v>8</v>
      </c>
      <c r="B12" s="16">
        <v>9.1915741156367581E-3</v>
      </c>
      <c r="C12" s="16">
        <v>-9.9324234317808457E-2</v>
      </c>
      <c r="D12" s="16">
        <v>3.8864861504845472E-2</v>
      </c>
      <c r="E12" s="16">
        <v>-5.9785116255783866E-4</v>
      </c>
      <c r="F12" s="21">
        <v>-4.4249983754333644E-2</v>
      </c>
      <c r="G12" s="14"/>
      <c r="H12" s="14"/>
      <c r="I12" s="14"/>
      <c r="J12" s="14"/>
    </row>
    <row r="13" spans="1:10" ht="29" x14ac:dyDescent="0.35">
      <c r="A13" s="17" t="s">
        <v>7</v>
      </c>
      <c r="B13" s="16">
        <v>2.9852984141236494E-3</v>
      </c>
      <c r="C13" s="16">
        <v>-2.4704642132263865E-3</v>
      </c>
      <c r="D13" s="16">
        <v>2.3592948733872632E-3</v>
      </c>
      <c r="E13" s="16">
        <v>1.7284660089957882E-3</v>
      </c>
      <c r="F13" s="21">
        <v>7.4223725986473088E-3</v>
      </c>
      <c r="G13" s="14"/>
      <c r="H13" s="14"/>
      <c r="I13" s="14"/>
      <c r="J13" s="14"/>
    </row>
    <row r="14" spans="1:10" ht="29" x14ac:dyDescent="0.35">
      <c r="A14" s="17" t="s">
        <v>6</v>
      </c>
      <c r="B14" s="16">
        <v>1.1571552168345711E-3</v>
      </c>
      <c r="C14" s="16">
        <v>-9.4353173592399253E-2</v>
      </c>
      <c r="D14" s="16">
        <v>8.5080338879597539E-2</v>
      </c>
      <c r="E14" s="16">
        <v>1.1770332471450429E-2</v>
      </c>
      <c r="F14" s="21">
        <v>-2.2804097007721458E-2</v>
      </c>
      <c r="G14" s="14"/>
      <c r="H14" s="14"/>
      <c r="I14" s="14"/>
      <c r="J14" s="14"/>
    </row>
    <row r="17" spans="1:10" x14ac:dyDescent="0.35">
      <c r="A17" t="s">
        <v>5</v>
      </c>
    </row>
    <row r="21" spans="1:10" x14ac:dyDescent="0.35">
      <c r="A21" s="17"/>
      <c r="B21" s="16"/>
      <c r="C21" s="16"/>
      <c r="D21" s="16"/>
      <c r="E21" s="17"/>
      <c r="F21" s="14"/>
      <c r="G21" s="14"/>
      <c r="H21" s="14"/>
      <c r="I21" s="14"/>
      <c r="J21" s="14"/>
    </row>
    <row r="22" spans="1:10" x14ac:dyDescent="0.35">
      <c r="B22" s="16"/>
      <c r="C22" s="16"/>
      <c r="D22" s="16"/>
      <c r="F22" s="14"/>
      <c r="G22" s="14"/>
      <c r="H22" s="14"/>
      <c r="I22" s="14"/>
      <c r="J22" s="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zoomScale="45" zoomScaleNormal="45" workbookViewId="0"/>
  </sheetViews>
  <sheetFormatPr defaultRowHeight="14.5" x14ac:dyDescent="0.35"/>
  <cols>
    <col min="1" max="1" width="8.7265625" style="116"/>
    <col min="2" max="2" width="21" style="116" customWidth="1"/>
    <col min="3" max="13" width="10.36328125" style="116" customWidth="1"/>
    <col min="14" max="17" width="10.36328125" customWidth="1"/>
    <col min="18" max="18" width="13.08984375" customWidth="1"/>
    <col min="19" max="22" width="14.26953125" bestFit="1" customWidth="1"/>
    <col min="23" max="23" width="18.7265625" customWidth="1"/>
    <col min="24" max="25" width="14.81640625" customWidth="1"/>
    <col min="26" max="28" width="14.54296875" customWidth="1"/>
  </cols>
  <sheetData>
    <row r="1" spans="1:28" ht="26" x14ac:dyDescent="0.6">
      <c r="A1" s="117" t="s">
        <v>230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28" x14ac:dyDescent="0.35">
      <c r="A2" s="107" t="s">
        <v>102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28" x14ac:dyDescent="0.35">
      <c r="A3" s="107" t="s">
        <v>66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28" x14ac:dyDescent="0.3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28" x14ac:dyDescent="0.35">
      <c r="A5" s="107"/>
      <c r="B5" s="107"/>
      <c r="C5" s="118" t="s">
        <v>38</v>
      </c>
      <c r="D5" s="118" t="s">
        <v>37</v>
      </c>
      <c r="E5" s="118" t="s">
        <v>36</v>
      </c>
      <c r="F5" s="118" t="s">
        <v>35</v>
      </c>
      <c r="G5" s="118" t="s">
        <v>34</v>
      </c>
      <c r="H5" s="118" t="s">
        <v>33</v>
      </c>
      <c r="I5" s="118" t="s">
        <v>32</v>
      </c>
      <c r="J5" s="118" t="s">
        <v>31</v>
      </c>
      <c r="K5" s="118" t="s">
        <v>30</v>
      </c>
      <c r="L5" s="118" t="s">
        <v>29</v>
      </c>
      <c r="M5" s="118" t="s">
        <v>101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ht="29" x14ac:dyDescent="0.35">
      <c r="A6" s="119">
        <v>2</v>
      </c>
      <c r="B6" s="120" t="s">
        <v>100</v>
      </c>
      <c r="C6" s="44">
        <v>48.402833212802769</v>
      </c>
      <c r="D6" s="44">
        <v>37.399287009565221</v>
      </c>
      <c r="E6" s="44">
        <v>40.457666838145236</v>
      </c>
      <c r="F6" s="44">
        <v>48.243868993907739</v>
      </c>
      <c r="G6" s="44">
        <v>43.461041271477661</v>
      </c>
      <c r="H6" s="44">
        <v>48.623973229381441</v>
      </c>
      <c r="I6" s="44">
        <v>49.882440780445968</v>
      </c>
      <c r="J6" s="44">
        <v>51.514541768835613</v>
      </c>
      <c r="K6" s="44">
        <v>50.472966</v>
      </c>
      <c r="L6" s="44">
        <v>50.365443999999997</v>
      </c>
      <c r="M6" s="42">
        <v>1.0405474361091347</v>
      </c>
      <c r="N6" s="20"/>
      <c r="O6" s="20"/>
      <c r="P6" s="20"/>
      <c r="Q6" s="20"/>
      <c r="R6" s="43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35">
      <c r="A7" s="121" t="s">
        <v>99</v>
      </c>
      <c r="B7" s="43" t="s">
        <v>98</v>
      </c>
      <c r="C7" s="44">
        <v>32.747279386678201</v>
      </c>
      <c r="D7" s="44">
        <v>15.509551846086957</v>
      </c>
      <c r="E7" s="44">
        <v>26.185053716535435</v>
      </c>
      <c r="F7" s="44">
        <v>28.959165299390776</v>
      </c>
      <c r="G7" s="44">
        <v>30.863920242268041</v>
      </c>
      <c r="H7" s="44">
        <v>30.147096213917525</v>
      </c>
      <c r="I7" s="44">
        <v>33.649806789879932</v>
      </c>
      <c r="J7" s="44">
        <v>33.705295029965754</v>
      </c>
      <c r="K7" s="44">
        <v>34.484786999999997</v>
      </c>
      <c r="L7" s="44">
        <v>33.947077</v>
      </c>
      <c r="M7" s="42">
        <v>1.0366380852331165</v>
      </c>
      <c r="N7" s="20"/>
      <c r="O7" s="20"/>
      <c r="P7" s="20"/>
      <c r="Q7" s="20"/>
      <c r="R7" s="43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9" x14ac:dyDescent="0.35">
      <c r="A8" s="121" t="s">
        <v>97</v>
      </c>
      <c r="B8" s="122" t="s">
        <v>96</v>
      </c>
      <c r="C8" s="44">
        <v>28.35210714446367</v>
      </c>
      <c r="D8" s="44">
        <v>21.645574535652173</v>
      </c>
      <c r="E8" s="44">
        <v>25.672268411198601</v>
      </c>
      <c r="F8" s="44">
        <v>27.067086124456047</v>
      </c>
      <c r="G8" s="44">
        <v>27.649638921821303</v>
      </c>
      <c r="H8" s="44">
        <v>28.297362884020615</v>
      </c>
      <c r="I8" s="44">
        <v>28.043397234991424</v>
      </c>
      <c r="J8" s="44">
        <v>28.810359631849316</v>
      </c>
      <c r="K8" s="44">
        <v>29.168510000000001</v>
      </c>
      <c r="L8" s="44">
        <v>29.402898</v>
      </c>
      <c r="M8" s="42">
        <v>1.0370621784893161</v>
      </c>
      <c r="N8" s="20"/>
      <c r="O8" s="20"/>
      <c r="P8" s="20"/>
      <c r="Q8" s="20"/>
      <c r="R8" s="43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9" x14ac:dyDescent="0.35">
      <c r="A9" s="119">
        <v>10</v>
      </c>
      <c r="B9" s="120" t="s">
        <v>95</v>
      </c>
      <c r="C9" s="44">
        <v>25.766650571799307</v>
      </c>
      <c r="D9" s="44">
        <v>6.0015358852173906</v>
      </c>
      <c r="E9" s="44">
        <v>11.556192274715659</v>
      </c>
      <c r="F9" s="44">
        <v>17.6502801897302</v>
      </c>
      <c r="G9" s="44">
        <v>24.056005914089344</v>
      </c>
      <c r="H9" s="44">
        <v>23.934296359106529</v>
      </c>
      <c r="I9" s="44">
        <v>25.280015998284735</v>
      </c>
      <c r="J9" s="44">
        <v>27.887489318493149</v>
      </c>
      <c r="K9" s="44">
        <v>28.249831</v>
      </c>
      <c r="L9" s="44">
        <v>27.575517000000001</v>
      </c>
      <c r="M9" s="42">
        <v>1.0702018457214784</v>
      </c>
      <c r="N9" s="20"/>
      <c r="O9" s="20"/>
      <c r="P9" s="20"/>
      <c r="Q9" s="20"/>
      <c r="R9" s="43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x14ac:dyDescent="0.35">
      <c r="A10" s="121" t="s">
        <v>94</v>
      </c>
      <c r="B10" s="43" t="s">
        <v>93</v>
      </c>
      <c r="C10" s="44">
        <v>9.2694030155709353</v>
      </c>
      <c r="D10" s="44">
        <v>7.1897027452173914</v>
      </c>
      <c r="E10" s="44">
        <v>7.6381102834645667</v>
      </c>
      <c r="F10" s="44">
        <v>8.7653018929503919</v>
      </c>
      <c r="G10" s="44">
        <v>9.2651320764604801</v>
      </c>
      <c r="H10" s="44">
        <v>9.5239039621993111</v>
      </c>
      <c r="I10" s="44">
        <v>9.4283316072041163</v>
      </c>
      <c r="J10" s="44">
        <v>9.2541443116438344</v>
      </c>
      <c r="K10" s="44">
        <v>9.3727719999999994</v>
      </c>
      <c r="L10" s="44">
        <v>9.5623210000000007</v>
      </c>
      <c r="M10" s="42">
        <v>1.0316005231336922</v>
      </c>
      <c r="N10" s="20"/>
      <c r="O10" s="20"/>
      <c r="P10" s="20"/>
      <c r="Q10" s="20"/>
      <c r="R10" s="43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x14ac:dyDescent="0.35">
      <c r="A11" s="121" t="s">
        <v>92</v>
      </c>
      <c r="B11" s="43" t="s">
        <v>91</v>
      </c>
      <c r="C11" s="44">
        <v>10.204055506920415</v>
      </c>
      <c r="D11" s="44">
        <v>4.7006261634782609</v>
      </c>
      <c r="E11" s="44">
        <v>8.4493817471566057</v>
      </c>
      <c r="F11" s="44">
        <v>8.6840167597911222</v>
      </c>
      <c r="G11" s="44">
        <v>10.217242599656357</v>
      </c>
      <c r="H11" s="44">
        <v>9.7481786305841922</v>
      </c>
      <c r="I11" s="44">
        <v>10.454241091766724</v>
      </c>
      <c r="J11" s="44">
        <v>10.435018608732877</v>
      </c>
      <c r="K11" s="44">
        <v>10.83196</v>
      </c>
      <c r="L11" s="44">
        <v>10.663373</v>
      </c>
      <c r="M11" s="42">
        <v>1.0450132295701522</v>
      </c>
      <c r="N11" s="20"/>
      <c r="O11" s="20"/>
      <c r="P11" s="20"/>
      <c r="Q11" s="20"/>
      <c r="R11" s="43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29" x14ac:dyDescent="0.35">
      <c r="A12" s="123" t="s">
        <v>90</v>
      </c>
      <c r="B12" s="122" t="s">
        <v>89</v>
      </c>
      <c r="C12" s="44">
        <v>9.3207619005190327</v>
      </c>
      <c r="D12" s="44">
        <v>3.9935193408695651</v>
      </c>
      <c r="E12" s="44">
        <v>5.2653374689413823</v>
      </c>
      <c r="F12" s="44">
        <v>7.8636104908616176</v>
      </c>
      <c r="G12" s="44">
        <v>7.8401518341924401</v>
      </c>
      <c r="H12" s="44">
        <v>8.5521238582474215</v>
      </c>
      <c r="I12" s="44">
        <v>8.5817066415094345</v>
      </c>
      <c r="J12" s="44">
        <v>7.517549306506849</v>
      </c>
      <c r="K12" s="44">
        <v>7.7389510000000001</v>
      </c>
      <c r="L12" s="44">
        <v>7.2292810000000003</v>
      </c>
      <c r="M12" s="42">
        <v>0.77561052166748656</v>
      </c>
      <c r="N12" s="20"/>
      <c r="O12" s="20"/>
      <c r="P12" s="20"/>
      <c r="Q12" s="20"/>
      <c r="R12" s="43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29" x14ac:dyDescent="0.35">
      <c r="A13" s="124">
        <v>6</v>
      </c>
      <c r="B13" s="120" t="s">
        <v>88</v>
      </c>
      <c r="C13" s="44">
        <v>4.9720143382352946</v>
      </c>
      <c r="D13" s="44">
        <v>0.76898551739130439</v>
      </c>
      <c r="E13" s="44">
        <v>3.1301250043744533</v>
      </c>
      <c r="F13" s="44">
        <v>4.5273968398607485</v>
      </c>
      <c r="G13" s="44">
        <v>5.2696418479381437</v>
      </c>
      <c r="H13" s="44">
        <v>5.5118990120274907</v>
      </c>
      <c r="I13" s="44">
        <v>5.7414391114922809</v>
      </c>
      <c r="J13" s="44">
        <v>5.7995128467465751</v>
      </c>
      <c r="K13" s="44">
        <v>5.9133950000000004</v>
      </c>
      <c r="L13" s="44">
        <v>6.220669</v>
      </c>
      <c r="M13" s="42">
        <v>1.2511365770131482</v>
      </c>
      <c r="N13" s="20"/>
      <c r="O13" s="20"/>
      <c r="P13" s="20"/>
      <c r="Q13" s="20"/>
      <c r="R13" s="43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29" x14ac:dyDescent="0.35">
      <c r="A14" s="119">
        <v>3</v>
      </c>
      <c r="B14" s="120" t="s">
        <v>87</v>
      </c>
      <c r="C14" s="44">
        <v>4.6550076202422144</v>
      </c>
      <c r="D14" s="44">
        <v>1.4474944834782606</v>
      </c>
      <c r="E14" s="44">
        <v>2.8597582134733157</v>
      </c>
      <c r="F14" s="44">
        <v>3.9196661845082676</v>
      </c>
      <c r="G14" s="44">
        <v>4.1322185627147761</v>
      </c>
      <c r="H14" s="44">
        <v>4.7282062560137454</v>
      </c>
      <c r="I14" s="44">
        <v>4.8089635763293312</v>
      </c>
      <c r="J14" s="44">
        <v>4.5883679991438351</v>
      </c>
      <c r="K14" s="44">
        <v>4.6681800000000004</v>
      </c>
      <c r="L14" s="44">
        <v>4.8400860000000003</v>
      </c>
      <c r="M14" s="42">
        <v>1.0397589853457976</v>
      </c>
      <c r="N14" s="20"/>
      <c r="O14" s="20"/>
      <c r="P14" s="20"/>
      <c r="Q14" s="20"/>
      <c r="R14" s="43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29" x14ac:dyDescent="0.35">
      <c r="A15" s="119" t="s">
        <v>86</v>
      </c>
      <c r="B15" s="120" t="s">
        <v>85</v>
      </c>
      <c r="C15" s="44">
        <v>7.5171646046712803</v>
      </c>
      <c r="D15" s="44">
        <v>1.3697054626086955</v>
      </c>
      <c r="E15" s="44">
        <v>3.7438437480314959</v>
      </c>
      <c r="F15" s="44">
        <v>4.2276024952132278</v>
      </c>
      <c r="G15" s="44">
        <v>4.8624748865979379</v>
      </c>
      <c r="H15" s="44">
        <v>6.8342809424398627</v>
      </c>
      <c r="I15" s="44">
        <v>6.3847569854202399</v>
      </c>
      <c r="J15" s="44">
        <v>7.3764618527397259</v>
      </c>
      <c r="K15" s="44">
        <v>7.3815470000000003</v>
      </c>
      <c r="L15" s="44">
        <v>7.5562909999999999</v>
      </c>
      <c r="M15" s="42">
        <v>1.005204940610773</v>
      </c>
      <c r="N15" s="20"/>
      <c r="O15" s="20"/>
      <c r="P15" s="20"/>
      <c r="Q15" s="20"/>
      <c r="R15" s="43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29" x14ac:dyDescent="0.35">
      <c r="A16" s="119">
        <v>8</v>
      </c>
      <c r="B16" s="120" t="s">
        <v>84</v>
      </c>
      <c r="C16" s="44">
        <v>4.128873065743945</v>
      </c>
      <c r="D16" s="44">
        <v>2.1095789017391304</v>
      </c>
      <c r="E16" s="44">
        <v>3.5824670393700786</v>
      </c>
      <c r="F16" s="44">
        <v>3.9024211966927758</v>
      </c>
      <c r="G16" s="44">
        <v>4.2698070386597937</v>
      </c>
      <c r="H16" s="44">
        <v>4.29990495790378</v>
      </c>
      <c r="I16" s="44">
        <v>4.5544709296740988</v>
      </c>
      <c r="J16" s="44">
        <v>4.8185286506849314</v>
      </c>
      <c r="K16" s="44">
        <v>4.8253339999999998</v>
      </c>
      <c r="L16" s="44">
        <v>5.0025779999999997</v>
      </c>
      <c r="M16" s="42">
        <v>1.2116085722045877</v>
      </c>
      <c r="N16" s="20"/>
      <c r="O16" s="20"/>
      <c r="P16" s="20"/>
      <c r="Q16" s="20"/>
      <c r="R16" s="43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x14ac:dyDescent="0.35">
      <c r="A17" s="121" t="s">
        <v>83</v>
      </c>
      <c r="B17" s="43" t="s">
        <v>82</v>
      </c>
      <c r="C17" s="44">
        <v>4.139528557958478</v>
      </c>
      <c r="D17" s="44">
        <v>1.2291314947826086</v>
      </c>
      <c r="E17" s="44">
        <v>2.5163345459317585</v>
      </c>
      <c r="F17" s="44">
        <v>2.6041124003481286</v>
      </c>
      <c r="G17" s="44">
        <v>2.8993487173539516</v>
      </c>
      <c r="H17" s="44">
        <v>3.3736017053264602</v>
      </c>
      <c r="I17" s="44">
        <v>3.1482244614065178</v>
      </c>
      <c r="J17" s="44">
        <v>3.7734783227739723</v>
      </c>
      <c r="K17" s="44">
        <v>4.1859970000000004</v>
      </c>
      <c r="L17" s="44">
        <v>4.1957110000000002</v>
      </c>
      <c r="M17" s="42">
        <v>1.0135721837051972</v>
      </c>
      <c r="N17" s="20"/>
      <c r="O17" s="20"/>
      <c r="P17" s="20"/>
      <c r="Q17" s="20"/>
      <c r="R17" s="43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x14ac:dyDescent="0.35">
      <c r="A18" s="119">
        <v>9</v>
      </c>
      <c r="B18" s="43" t="s">
        <v>81</v>
      </c>
      <c r="C18" s="44">
        <v>2.1011224636678203</v>
      </c>
      <c r="D18" s="44">
        <v>0.64280670347826085</v>
      </c>
      <c r="E18" s="44">
        <v>1.5808223385826774</v>
      </c>
      <c r="F18" s="44">
        <v>1.9533941209747605</v>
      </c>
      <c r="G18" s="44">
        <v>1.888050381443299</v>
      </c>
      <c r="H18" s="44">
        <v>1.8741120609965634</v>
      </c>
      <c r="I18" s="44">
        <v>1.9904439065180102</v>
      </c>
      <c r="J18" s="44">
        <v>2.2751006095890411</v>
      </c>
      <c r="K18" s="44">
        <v>2.1109339999999999</v>
      </c>
      <c r="L18" s="44">
        <v>2.2534749999999999</v>
      </c>
      <c r="M18" s="42">
        <v>1.0725100697206509</v>
      </c>
      <c r="N18" s="20"/>
      <c r="O18" s="20"/>
      <c r="P18" s="20"/>
      <c r="Q18" s="20"/>
      <c r="R18" s="43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35">
      <c r="A19" s="119" t="s">
        <v>80</v>
      </c>
      <c r="B19" s="43" t="s">
        <v>79</v>
      </c>
      <c r="C19" s="44">
        <v>1.3426224083044982</v>
      </c>
      <c r="D19" s="44">
        <v>0.15278597043478259</v>
      </c>
      <c r="E19" s="44">
        <v>0.36893978827646545</v>
      </c>
      <c r="F19" s="44">
        <v>0.71615873281114018</v>
      </c>
      <c r="G19" s="44">
        <v>0.85645471219931268</v>
      </c>
      <c r="H19" s="44">
        <v>1.1091673771477664</v>
      </c>
      <c r="I19" s="44">
        <v>1.2682793687821612</v>
      </c>
      <c r="J19" s="44">
        <v>1.2500104178082192</v>
      </c>
      <c r="K19" s="44">
        <v>1.24716</v>
      </c>
      <c r="L19" s="44">
        <v>1.246988</v>
      </c>
      <c r="M19" s="42">
        <v>0.9287704363393815</v>
      </c>
      <c r="N19" s="20"/>
      <c r="O19" s="20"/>
      <c r="P19" s="20"/>
      <c r="Q19" s="20"/>
      <c r="R19" s="43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x14ac:dyDescent="0.35">
      <c r="A20" s="119">
        <v>1</v>
      </c>
      <c r="B20" s="43" t="s">
        <v>78</v>
      </c>
      <c r="C20" s="44">
        <v>191.57680240224911</v>
      </c>
      <c r="D20" s="44">
        <v>104.00750314434782</v>
      </c>
      <c r="E20" s="44">
        <v>142.63736162992126</v>
      </c>
      <c r="F20" s="44">
        <v>168.3679240078329</v>
      </c>
      <c r="G20" s="44">
        <v>176.67467429467354</v>
      </c>
      <c r="H20" s="44">
        <v>185.44894309020617</v>
      </c>
      <c r="I20" s="44">
        <v>191.94823911492279</v>
      </c>
      <c r="J20" s="44">
        <v>197.75585026284244</v>
      </c>
      <c r="K20" s="44">
        <v>199.40516400000001</v>
      </c>
      <c r="L20" s="44">
        <v>198.81472199999999</v>
      </c>
      <c r="M20" s="42">
        <v>1.0377807725517498</v>
      </c>
      <c r="N20" s="20"/>
      <c r="O20" s="20"/>
      <c r="P20" s="20"/>
      <c r="Q20" s="20"/>
      <c r="R20" s="43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.5" x14ac:dyDescent="0.35">
      <c r="A21" s="107"/>
      <c r="B21" s="107"/>
      <c r="C21" s="107"/>
      <c r="D21" s="42">
        <v>0.54290238609351993</v>
      </c>
      <c r="E21" s="42"/>
      <c r="F21" s="107"/>
      <c r="G21" s="107"/>
      <c r="H21" s="107"/>
      <c r="I21" s="107"/>
      <c r="J21" s="107"/>
      <c r="K21" s="107"/>
      <c r="L21" s="107"/>
      <c r="M21" s="42"/>
      <c r="N21" s="20"/>
      <c r="O21" s="20"/>
      <c r="P21" s="20"/>
      <c r="Q21" s="20"/>
      <c r="R21" s="41"/>
    </row>
    <row r="22" spans="1:28" x14ac:dyDescent="0.3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42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x14ac:dyDescent="0.3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</row>
    <row r="24" spans="1:28" x14ac:dyDescent="0.3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</row>
    <row r="25" spans="1:28" x14ac:dyDescent="0.3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28" x14ac:dyDescent="0.3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63" zoomScaleNormal="63" workbookViewId="0">
      <pane xSplit="2" ySplit="5" topLeftCell="C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sheetData>
    <row r="1" spans="1:15" ht="26" x14ac:dyDescent="0.6">
      <c r="A1" s="117" t="s">
        <v>231</v>
      </c>
    </row>
    <row r="2" spans="1:15" x14ac:dyDescent="0.35">
      <c r="A2" t="s">
        <v>232</v>
      </c>
    </row>
    <row r="3" spans="1:15" x14ac:dyDescent="0.35">
      <c r="A3" t="s">
        <v>233</v>
      </c>
    </row>
    <row r="5" spans="1:15" x14ac:dyDescent="0.35">
      <c r="C5" t="s">
        <v>40</v>
      </c>
      <c r="D5" t="s">
        <v>39</v>
      </c>
      <c r="E5" t="s">
        <v>38</v>
      </c>
      <c r="F5" t="s">
        <v>37</v>
      </c>
      <c r="G5" t="s">
        <v>36</v>
      </c>
      <c r="H5" t="s">
        <v>35</v>
      </c>
      <c r="I5" t="s">
        <v>34</v>
      </c>
      <c r="J5" t="s">
        <v>33</v>
      </c>
      <c r="K5" t="s">
        <v>32</v>
      </c>
      <c r="L5" t="s">
        <v>31</v>
      </c>
      <c r="M5" t="s">
        <v>30</v>
      </c>
      <c r="N5" t="s">
        <v>29</v>
      </c>
    </row>
    <row r="6" spans="1:15" x14ac:dyDescent="0.35">
      <c r="A6" t="s">
        <v>28</v>
      </c>
      <c r="B6" t="s">
        <v>24</v>
      </c>
      <c r="C6" s="4">
        <v>107.61086765994742</v>
      </c>
      <c r="D6" s="4">
        <v>98.513020833333314</v>
      </c>
      <c r="E6" s="4">
        <v>96.336505190311414</v>
      </c>
      <c r="F6" s="4">
        <v>86.733913043478253</v>
      </c>
      <c r="G6" s="4">
        <v>86.536307961504804</v>
      </c>
      <c r="H6" s="4">
        <v>91.97389033942558</v>
      </c>
      <c r="I6" s="4">
        <v>94.522336769759434</v>
      </c>
      <c r="J6" s="4">
        <v>91.030927835051529</v>
      </c>
      <c r="K6" s="4">
        <v>94.807890222984568</v>
      </c>
      <c r="L6" s="4">
        <v>95.617294520547944</v>
      </c>
      <c r="M6" s="4">
        <v>95.814688300597766</v>
      </c>
      <c r="N6" s="4">
        <v>90.720751494449175</v>
      </c>
      <c r="O6" s="20">
        <f t="shared" ref="O6:O13" si="0">N6/J6-1</f>
        <v>-3.4073731640349436E-3</v>
      </c>
    </row>
    <row r="7" spans="1:15" x14ac:dyDescent="0.35">
      <c r="B7" t="s">
        <v>23</v>
      </c>
      <c r="C7" s="4">
        <v>100</v>
      </c>
      <c r="D7" s="4">
        <v>104.15430267062315</v>
      </c>
      <c r="E7" s="4">
        <v>100.69238377843719</v>
      </c>
      <c r="F7" s="4">
        <v>92.482690405539074</v>
      </c>
      <c r="G7" s="4">
        <v>98.021760633036592</v>
      </c>
      <c r="H7" s="4">
        <v>90.405539070227505</v>
      </c>
      <c r="I7" s="4">
        <v>96.340257171117713</v>
      </c>
      <c r="J7" s="4">
        <v>99.406528189910986</v>
      </c>
      <c r="K7" s="4">
        <v>97.032640949554889</v>
      </c>
      <c r="L7" s="4">
        <v>97.230464886251241</v>
      </c>
      <c r="M7" s="4">
        <v>97.329376854599417</v>
      </c>
      <c r="N7" s="4">
        <v>94.065281899109792</v>
      </c>
      <c r="O7" s="20">
        <f t="shared" si="0"/>
        <v>-5.37313432835822E-2</v>
      </c>
    </row>
    <row r="8" spans="1:15" x14ac:dyDescent="0.35">
      <c r="A8" t="s">
        <v>27</v>
      </c>
      <c r="B8" t="s">
        <v>24</v>
      </c>
      <c r="C8" s="4">
        <v>66.813321647677469</v>
      </c>
      <c r="D8" s="4">
        <v>54.291666666666657</v>
      </c>
      <c r="E8" s="4">
        <v>52.268166089965398</v>
      </c>
      <c r="F8" s="4">
        <v>42.862608695652177</v>
      </c>
      <c r="G8" s="4">
        <v>63.067366579177609</v>
      </c>
      <c r="H8" s="4">
        <v>28.043516100957355</v>
      </c>
      <c r="I8" s="4">
        <v>76.44329896907216</v>
      </c>
      <c r="J8" s="4">
        <v>68.727663230240537</v>
      </c>
      <c r="K8" s="4">
        <v>55.302744425385939</v>
      </c>
      <c r="L8" s="4">
        <v>106.67636986301369</v>
      </c>
      <c r="M8" s="4">
        <v>58.694278394534585</v>
      </c>
      <c r="N8" s="4">
        <v>72.389410760034153</v>
      </c>
      <c r="O8" s="20">
        <f t="shared" si="0"/>
        <v>5.3279092547154017E-2</v>
      </c>
    </row>
    <row r="9" spans="1:15" x14ac:dyDescent="0.35">
      <c r="B9" t="s">
        <v>23</v>
      </c>
      <c r="C9" s="4">
        <v>100</v>
      </c>
      <c r="D9" s="4">
        <v>103.43461030383089</v>
      </c>
      <c r="E9" s="4">
        <v>98.811096433289293</v>
      </c>
      <c r="F9" s="4">
        <v>43.72523117569353</v>
      </c>
      <c r="G9" s="4">
        <v>69.749009247027743</v>
      </c>
      <c r="H9" s="4">
        <v>77.542932628797885</v>
      </c>
      <c r="I9" s="4">
        <v>86.657859973579903</v>
      </c>
      <c r="J9" s="4">
        <v>87.714663143989441</v>
      </c>
      <c r="K9" s="4">
        <v>96.03698811096433</v>
      </c>
      <c r="L9" s="4">
        <v>94.848084544253624</v>
      </c>
      <c r="M9" s="4">
        <v>94.583883751651243</v>
      </c>
      <c r="N9" s="4">
        <v>98.414795244385729</v>
      </c>
      <c r="O9" s="20">
        <f t="shared" si="0"/>
        <v>0.12198795180722866</v>
      </c>
    </row>
    <row r="10" spans="1:15" x14ac:dyDescent="0.35">
      <c r="A10" t="s">
        <v>26</v>
      </c>
      <c r="B10" t="s">
        <v>24</v>
      </c>
      <c r="C10" s="4">
        <v>57.356704645048204</v>
      </c>
      <c r="D10" s="4">
        <v>57.355902777777764</v>
      </c>
      <c r="E10" s="4">
        <v>62.838235294117659</v>
      </c>
      <c r="F10" s="4">
        <v>45.23391304347826</v>
      </c>
      <c r="G10" s="4">
        <v>49.510061242344712</v>
      </c>
      <c r="H10" s="4">
        <v>52.03394255874673</v>
      </c>
      <c r="I10" s="4">
        <v>58.35137457044673</v>
      </c>
      <c r="J10" s="4">
        <v>72.318728522336755</v>
      </c>
      <c r="K10" s="4">
        <v>82.085763293310478</v>
      </c>
      <c r="L10" s="4">
        <v>50.223458904109592</v>
      </c>
      <c r="M10" s="4">
        <v>67.397096498719037</v>
      </c>
      <c r="N10" s="4">
        <v>89.530315969257046</v>
      </c>
      <c r="O10" s="20">
        <f t="shared" si="0"/>
        <v>0.23799626733764034</v>
      </c>
    </row>
    <row r="11" spans="1:15" x14ac:dyDescent="0.35">
      <c r="B11" t="s">
        <v>23</v>
      </c>
      <c r="C11" s="4">
        <v>100</v>
      </c>
      <c r="D11" s="4">
        <v>74.723247232472318</v>
      </c>
      <c r="E11" s="4">
        <v>65.959409594095945</v>
      </c>
      <c r="F11" s="4">
        <v>36.070110701107012</v>
      </c>
      <c r="G11" s="4">
        <v>54.059040590405907</v>
      </c>
      <c r="H11" s="4">
        <v>62.730627306273057</v>
      </c>
      <c r="I11" s="4">
        <v>73.431734317343171</v>
      </c>
      <c r="J11" s="4">
        <v>70.9409594095941</v>
      </c>
      <c r="K11" s="4">
        <v>68.357933579335779</v>
      </c>
      <c r="L11" s="4">
        <v>69.741697416974162</v>
      </c>
      <c r="M11" s="4">
        <v>76.014760147601478</v>
      </c>
      <c r="N11" s="4">
        <v>95.20295202952029</v>
      </c>
      <c r="O11" s="20">
        <f t="shared" si="0"/>
        <v>0.34200260078023392</v>
      </c>
    </row>
    <row r="12" spans="1:15" x14ac:dyDescent="0.35">
      <c r="A12" t="s">
        <v>25</v>
      </c>
      <c r="B12" t="s">
        <v>24</v>
      </c>
      <c r="C12" s="4">
        <v>141.64767747589832</v>
      </c>
      <c r="D12" s="4">
        <v>102.95138888888887</v>
      </c>
      <c r="E12" s="4">
        <v>152.23875432525952</v>
      </c>
      <c r="F12" s="4">
        <v>59.303478260869568</v>
      </c>
      <c r="G12" s="4">
        <v>93.624671916010485</v>
      </c>
      <c r="H12" s="4">
        <v>95.457789382071368</v>
      </c>
      <c r="I12" s="4">
        <v>101.29381443298968</v>
      </c>
      <c r="J12" s="4">
        <v>165.49312714776633</v>
      </c>
      <c r="K12" s="4">
        <v>199.85677530017153</v>
      </c>
      <c r="L12" s="4">
        <v>207.24229452054797</v>
      </c>
      <c r="M12" s="4">
        <v>171.85994876174209</v>
      </c>
      <c r="N12" s="4">
        <v>150.58411614005124</v>
      </c>
      <c r="O12" s="20">
        <f t="shared" si="0"/>
        <v>-9.0088399830665189E-2</v>
      </c>
    </row>
    <row r="13" spans="1:15" x14ac:dyDescent="0.35">
      <c r="B13" t="s">
        <v>23</v>
      </c>
      <c r="C13" s="4">
        <v>100</v>
      </c>
      <c r="D13" s="4">
        <v>99.374441465594273</v>
      </c>
      <c r="E13" s="4">
        <v>54.512957998212684</v>
      </c>
      <c r="F13" s="4">
        <v>32.529043789097408</v>
      </c>
      <c r="G13" s="4">
        <v>68.275245755138513</v>
      </c>
      <c r="H13" s="4">
        <v>48.972296693476316</v>
      </c>
      <c r="I13" s="4">
        <v>82.037533512064329</v>
      </c>
      <c r="J13" s="4">
        <v>89.365504915102761</v>
      </c>
      <c r="K13" s="4">
        <v>85.254691689008041</v>
      </c>
      <c r="L13" s="4">
        <v>82.841823056300271</v>
      </c>
      <c r="M13" s="4">
        <v>70.777479892761392</v>
      </c>
      <c r="N13" s="4">
        <v>69.168900804289549</v>
      </c>
      <c r="O13" s="20">
        <f t="shared" si="0"/>
        <v>-0.22599999999999987</v>
      </c>
    </row>
    <row r="14" spans="1:15" x14ac:dyDescent="0.3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5" x14ac:dyDescent="0.3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5" x14ac:dyDescent="0.3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8" spans="3:14" x14ac:dyDescent="0.3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20" spans="3:14" x14ac:dyDescent="0.3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2" spans="3:14" x14ac:dyDescent="0.3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zoomScale="62" zoomScaleNormal="62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7" width="8.7265625" style="4"/>
    <col min="18" max="18" width="17.1796875" style="4" bestFit="1" customWidth="1"/>
    <col min="19" max="19" width="16.08984375" style="4" bestFit="1" customWidth="1"/>
    <col min="20" max="21" width="17.1796875" style="4" bestFit="1" customWidth="1"/>
    <col min="22" max="23" width="16.08984375" style="4" bestFit="1" customWidth="1"/>
    <col min="24" max="25" width="10.08984375" style="4" bestFit="1" customWidth="1"/>
    <col min="26" max="16384" width="8.7265625" style="4"/>
  </cols>
  <sheetData>
    <row r="1" spans="1:15" ht="26" x14ac:dyDescent="0.6">
      <c r="A1" s="117" t="s">
        <v>234</v>
      </c>
    </row>
    <row r="2" spans="1:15" x14ac:dyDescent="0.35">
      <c r="A2" s="4" t="s">
        <v>237</v>
      </c>
    </row>
    <row r="3" spans="1:15" x14ac:dyDescent="0.35">
      <c r="A3" s="4" t="s">
        <v>236</v>
      </c>
    </row>
    <row r="4" spans="1:15" x14ac:dyDescent="0.35">
      <c r="B4" s="4" t="s">
        <v>41</v>
      </c>
    </row>
    <row r="5" spans="1:15" x14ac:dyDescent="0.35">
      <c r="B5" s="4" t="s">
        <v>42</v>
      </c>
      <c r="C5" s="4" t="s">
        <v>43</v>
      </c>
      <c r="D5" s="4" t="s">
        <v>44</v>
      </c>
      <c r="E5" s="4" t="s">
        <v>45</v>
      </c>
    </row>
    <row r="6" spans="1:15" x14ac:dyDescent="0.35">
      <c r="A6" s="22" t="s">
        <v>47</v>
      </c>
      <c r="B6" s="4">
        <v>100</v>
      </c>
      <c r="C6" s="4">
        <v>100</v>
      </c>
      <c r="D6" s="4">
        <v>100</v>
      </c>
      <c r="E6" s="4">
        <v>100</v>
      </c>
      <c r="G6" s="23"/>
      <c r="H6" s="23"/>
      <c r="I6" s="23"/>
      <c r="J6" s="23"/>
      <c r="O6" s="24"/>
    </row>
    <row r="7" spans="1:15" x14ac:dyDescent="0.35">
      <c r="A7" s="4" t="s">
        <v>39</v>
      </c>
      <c r="B7" s="4">
        <v>105.68428976806665</v>
      </c>
      <c r="C7" s="4">
        <v>95.445761470997894</v>
      </c>
      <c r="D7" s="4">
        <v>107.54112772105448</v>
      </c>
      <c r="E7" s="4">
        <v>94.746232049122085</v>
      </c>
      <c r="G7" s="23"/>
      <c r="H7" s="23"/>
      <c r="I7" s="23"/>
      <c r="J7" s="23"/>
      <c r="O7"/>
    </row>
    <row r="8" spans="1:15" x14ac:dyDescent="0.35">
      <c r="A8" s="4" t="s">
        <v>38</v>
      </c>
      <c r="B8" s="4">
        <v>116.34841173936917</v>
      </c>
      <c r="C8" s="4">
        <v>93.728252805699881</v>
      </c>
      <c r="D8" s="4">
        <v>112.27227133515225</v>
      </c>
      <c r="E8" s="4">
        <v>109.49521500784196</v>
      </c>
      <c r="G8" s="23"/>
      <c r="H8" s="23"/>
      <c r="I8" s="23"/>
      <c r="J8" s="23"/>
      <c r="O8"/>
    </row>
    <row r="9" spans="1:15" x14ac:dyDescent="0.35">
      <c r="A9" s="4" t="s">
        <v>37</v>
      </c>
      <c r="B9" s="4">
        <v>127.368421072967</v>
      </c>
      <c r="C9" s="4">
        <v>81.667934475135908</v>
      </c>
      <c r="D9" s="4">
        <v>115.06673866907092</v>
      </c>
      <c r="E9" s="4">
        <v>153.71644802513472</v>
      </c>
      <c r="G9" s="23"/>
      <c r="H9" s="23"/>
      <c r="I9" s="23"/>
      <c r="J9" s="23"/>
      <c r="O9"/>
    </row>
    <row r="10" spans="1:15" x14ac:dyDescent="0.35">
      <c r="A10" s="4" t="s">
        <v>36</v>
      </c>
      <c r="B10" s="4">
        <v>126.2204925263058</v>
      </c>
      <c r="C10" s="4">
        <v>77.066398994745228</v>
      </c>
      <c r="D10" s="4">
        <v>132.03805130204591</v>
      </c>
      <c r="E10" s="4">
        <v>96.416092031326755</v>
      </c>
      <c r="G10" s="23"/>
      <c r="H10" s="23"/>
      <c r="I10" s="23"/>
      <c r="J10" s="23"/>
      <c r="O10"/>
    </row>
    <row r="11" spans="1:15" x14ac:dyDescent="0.35">
      <c r="A11" s="4" t="s">
        <v>35</v>
      </c>
      <c r="B11" s="4">
        <v>131.57794424609935</v>
      </c>
      <c r="C11" s="4">
        <v>76.320039647961281</v>
      </c>
      <c r="D11" s="4">
        <v>126.78891606365778</v>
      </c>
      <c r="E11" s="4">
        <v>141.25221565521517</v>
      </c>
      <c r="G11" s="23"/>
      <c r="H11" s="23"/>
      <c r="I11" s="23"/>
      <c r="J11" s="23"/>
      <c r="O11"/>
    </row>
    <row r="12" spans="1:15" x14ac:dyDescent="0.35">
      <c r="A12" s="4" t="s">
        <v>34</v>
      </c>
      <c r="B12" s="4">
        <v>132.27481945289938</v>
      </c>
      <c r="C12" s="4">
        <v>70.076348676812586</v>
      </c>
      <c r="D12" s="4">
        <v>120.80972989292896</v>
      </c>
      <c r="E12" s="4">
        <v>90.716116455246592</v>
      </c>
      <c r="G12" s="23"/>
      <c r="H12" s="23"/>
      <c r="I12" s="23"/>
      <c r="J12" s="23"/>
      <c r="O12"/>
    </row>
    <row r="13" spans="1:15" x14ac:dyDescent="0.35">
      <c r="A13" s="4" t="s">
        <v>33</v>
      </c>
      <c r="B13" s="4">
        <v>143.8119516726257</v>
      </c>
      <c r="C13" s="4">
        <v>76.10592727133205</v>
      </c>
      <c r="D13" s="4">
        <v>137.69195917323998</v>
      </c>
      <c r="E13" s="4">
        <v>131.10282027409846</v>
      </c>
      <c r="G13" s="23"/>
      <c r="H13" s="23"/>
      <c r="I13" s="23"/>
      <c r="J13" s="23"/>
      <c r="O13"/>
    </row>
    <row r="14" spans="1:15" x14ac:dyDescent="0.35">
      <c r="A14" s="4" t="s">
        <v>32</v>
      </c>
      <c r="B14" s="4">
        <v>132.81566557919956</v>
      </c>
      <c r="C14" s="4">
        <v>74.759616903846108</v>
      </c>
      <c r="D14" s="4">
        <v>138.26723109304652</v>
      </c>
      <c r="E14" s="4">
        <v>144.63114687604275</v>
      </c>
      <c r="G14" s="23"/>
      <c r="H14" s="23"/>
      <c r="I14" s="23"/>
      <c r="J14" s="23"/>
      <c r="O14" s="25"/>
    </row>
    <row r="15" spans="1:15" x14ac:dyDescent="0.35">
      <c r="A15" s="4" t="s">
        <v>31</v>
      </c>
      <c r="B15" s="4">
        <v>129.96338645276731</v>
      </c>
      <c r="C15" s="4">
        <v>74.978788919476514</v>
      </c>
      <c r="D15" s="4">
        <v>135.67861455875075</v>
      </c>
      <c r="E15" s="4">
        <v>172.19800333048616</v>
      </c>
      <c r="G15" s="23"/>
      <c r="H15" s="23"/>
      <c r="I15" s="23"/>
      <c r="J15" s="23"/>
      <c r="O15" s="25"/>
    </row>
    <row r="16" spans="1:15" x14ac:dyDescent="0.35">
      <c r="A16" s="4" t="s">
        <v>30</v>
      </c>
      <c r="B16" s="4">
        <v>138.09076868619502</v>
      </c>
      <c r="C16" s="4">
        <v>78.716431473885649</v>
      </c>
      <c r="D16" s="4">
        <v>128.53587415942437</v>
      </c>
      <c r="E16" s="4">
        <v>143.34796158780699</v>
      </c>
      <c r="G16" s="23"/>
      <c r="H16" s="23"/>
      <c r="I16" s="23"/>
      <c r="J16" s="23"/>
      <c r="O16" s="25"/>
    </row>
    <row r="17" spans="1:25" x14ac:dyDescent="0.35">
      <c r="A17" s="4" t="s">
        <v>29</v>
      </c>
      <c r="B17" s="4">
        <v>151.31230975983763</v>
      </c>
      <c r="C17" s="4">
        <v>90.407575139657581</v>
      </c>
      <c r="D17" s="4">
        <v>110.95784242589353</v>
      </c>
      <c r="E17" s="4">
        <v>113.64052048349652</v>
      </c>
      <c r="G17" s="23"/>
      <c r="H17" s="23"/>
      <c r="I17" s="23"/>
      <c r="J17" s="23"/>
      <c r="O17" s="25"/>
    </row>
    <row r="18" spans="1:25" x14ac:dyDescent="0.35">
      <c r="A18" s="22" t="s">
        <v>48</v>
      </c>
      <c r="B18" s="4">
        <v>184.81178191006856</v>
      </c>
      <c r="C18" s="4">
        <v>98.775991396960677</v>
      </c>
      <c r="D18" s="4">
        <v>121.07440114349788</v>
      </c>
      <c r="E18" s="4">
        <v>120.16171293635406</v>
      </c>
      <c r="G18" s="23"/>
      <c r="H18" s="23"/>
      <c r="I18" s="23"/>
      <c r="J18" s="23"/>
      <c r="O18" s="25"/>
      <c r="R18"/>
      <c r="S18"/>
      <c r="T18"/>
      <c r="U18"/>
      <c r="V18"/>
      <c r="W18"/>
      <c r="X18"/>
      <c r="Y18"/>
    </row>
    <row r="20" spans="1:25" x14ac:dyDescent="0.35">
      <c r="A20" s="4" t="s">
        <v>235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41" zoomScaleNormal="4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47" sqref="K47"/>
    </sheetView>
  </sheetViews>
  <sheetFormatPr defaultRowHeight="14.5" x14ac:dyDescent="0.35"/>
  <cols>
    <col min="1" max="1" width="8.7265625" style="4"/>
    <col min="2" max="3" width="10.08984375" style="4" bestFit="1" customWidth="1"/>
    <col min="4" max="16384" width="8.7265625" style="4"/>
  </cols>
  <sheetData>
    <row r="1" spans="1:3" ht="26" x14ac:dyDescent="0.6">
      <c r="A1" s="117" t="s">
        <v>238</v>
      </c>
    </row>
    <row r="4" spans="1:3" x14ac:dyDescent="0.35">
      <c r="B4" s="4" t="s">
        <v>53</v>
      </c>
      <c r="C4" s="4" t="s">
        <v>52</v>
      </c>
    </row>
    <row r="5" spans="1:3" x14ac:dyDescent="0.35">
      <c r="A5" s="4" t="s">
        <v>50</v>
      </c>
      <c r="B5" s="4">
        <v>32257.666666666668</v>
      </c>
      <c r="C5" s="4">
        <v>44717.666666666664</v>
      </c>
    </row>
    <row r="6" spans="1:3" x14ac:dyDescent="0.35">
      <c r="A6" s="4" t="s">
        <v>49</v>
      </c>
      <c r="B6" s="4">
        <v>22607.333333333332</v>
      </c>
      <c r="C6" s="4">
        <v>31683.833333333332</v>
      </c>
    </row>
    <row r="8" spans="1:3" x14ac:dyDescent="0.35">
      <c r="A8" s="22" t="s">
        <v>47</v>
      </c>
      <c r="B8" s="4">
        <v>16303</v>
      </c>
      <c r="C8" s="4">
        <v>40413</v>
      </c>
    </row>
    <row r="9" spans="1:3" x14ac:dyDescent="0.35">
      <c r="A9" s="4" t="s">
        <v>39</v>
      </c>
      <c r="B9" s="4">
        <v>32143</v>
      </c>
      <c r="C9" s="4">
        <v>43296</v>
      </c>
    </row>
    <row r="10" spans="1:3" x14ac:dyDescent="0.35">
      <c r="A10" s="4" t="s">
        <v>38</v>
      </c>
      <c r="B10" s="4">
        <v>28889</v>
      </c>
      <c r="C10" s="4">
        <v>33546</v>
      </c>
    </row>
    <row r="11" spans="1:3" x14ac:dyDescent="0.35">
      <c r="A11" s="4" t="s">
        <v>37</v>
      </c>
      <c r="B11" s="4">
        <v>901</v>
      </c>
      <c r="C11" s="4">
        <v>574</v>
      </c>
    </row>
    <row r="12" spans="1:3" x14ac:dyDescent="0.35">
      <c r="A12" s="4" t="s">
        <v>36</v>
      </c>
      <c r="B12" s="4">
        <v>11901</v>
      </c>
      <c r="C12" s="4">
        <v>12874</v>
      </c>
    </row>
    <row r="13" spans="1:3" x14ac:dyDescent="0.35">
      <c r="A13" s="4" t="s">
        <v>35</v>
      </c>
      <c r="B13" s="4">
        <v>18808</v>
      </c>
      <c r="C13" s="4">
        <v>31643</v>
      </c>
    </row>
    <row r="14" spans="1:3" x14ac:dyDescent="0.35">
      <c r="A14" s="4" t="s">
        <v>34</v>
      </c>
      <c r="B14" s="4">
        <v>25312</v>
      </c>
      <c r="C14" s="4">
        <v>32405</v>
      </c>
    </row>
    <row r="15" spans="1:3" x14ac:dyDescent="0.35">
      <c r="A15" s="4" t="s">
        <v>33</v>
      </c>
      <c r="B15" s="4">
        <v>23029</v>
      </c>
      <c r="C15" s="4">
        <v>33259</v>
      </c>
    </row>
    <row r="16" spans="1:3" x14ac:dyDescent="0.35">
      <c r="A16" s="4" t="s">
        <v>32</v>
      </c>
      <c r="B16" s="4">
        <v>28390</v>
      </c>
      <c r="C16" s="4">
        <v>37237</v>
      </c>
    </row>
    <row r="17" spans="1:3" x14ac:dyDescent="0.35">
      <c r="A17" s="4" t="s">
        <v>31</v>
      </c>
      <c r="B17" s="4">
        <v>33844</v>
      </c>
      <c r="C17" s="4">
        <v>38694</v>
      </c>
    </row>
    <row r="18" spans="1:3" x14ac:dyDescent="0.35">
      <c r="A18" s="4" t="s">
        <v>30</v>
      </c>
      <c r="B18" s="4">
        <v>33825</v>
      </c>
      <c r="C18" s="4">
        <v>39015</v>
      </c>
    </row>
    <row r="19" spans="1:3" x14ac:dyDescent="0.35">
      <c r="A19" s="4" t="s">
        <v>29</v>
      </c>
      <c r="B19" s="4">
        <v>17943</v>
      </c>
      <c r="C19" s="4">
        <v>37250</v>
      </c>
    </row>
    <row r="20" spans="1:3" x14ac:dyDescent="0.35">
      <c r="A20" s="22" t="s">
        <v>48</v>
      </c>
      <c r="B20" s="4">
        <v>22759</v>
      </c>
      <c r="C20" s="4">
        <v>34649</v>
      </c>
    </row>
    <row r="21" spans="1:3" x14ac:dyDescent="0.35">
      <c r="A21" s="4" t="s">
        <v>39</v>
      </c>
      <c r="B21" s="4">
        <v>29582</v>
      </c>
      <c r="C21" s="4">
        <v>37521</v>
      </c>
    </row>
    <row r="22" spans="1:3" x14ac:dyDescent="0.35">
      <c r="B22" s="20"/>
      <c r="C22" s="20"/>
    </row>
    <row r="23" spans="1:3" x14ac:dyDescent="0.35">
      <c r="B23" s="20"/>
      <c r="C23" s="20"/>
    </row>
    <row r="24" spans="1:3" x14ac:dyDescent="0.35">
      <c r="B24" s="20"/>
      <c r="C24" s="2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4"/>
  <sheetViews>
    <sheetView zoomScale="53" zoomScaleNormal="53" workbookViewId="0">
      <selection activeCell="G1" sqref="G1:N1048576"/>
    </sheetView>
  </sheetViews>
  <sheetFormatPr defaultColWidth="9.08984375" defaultRowHeight="14.5" x14ac:dyDescent="0.35"/>
  <cols>
    <col min="1" max="1" width="45.7265625" style="19" customWidth="1"/>
    <col min="2" max="6" width="20.26953125" style="19" customWidth="1"/>
    <col min="7" max="10" width="10.7265625" style="4" customWidth="1"/>
    <col min="11" max="91" width="10.7265625" style="19" customWidth="1"/>
    <col min="92" max="16384" width="9.08984375" style="19"/>
  </cols>
  <sheetData>
    <row r="1" spans="1:93" ht="26" x14ac:dyDescent="0.6">
      <c r="A1" s="1" t="s">
        <v>54</v>
      </c>
      <c r="B1" s="26"/>
      <c r="C1" s="26"/>
      <c r="D1" s="26"/>
      <c r="E1" s="26"/>
      <c r="F1" s="26"/>
    </row>
    <row r="2" spans="1:93" ht="16" customHeight="1" x14ac:dyDescent="0.35">
      <c r="A2" s="19" t="s">
        <v>55</v>
      </c>
    </row>
    <row r="3" spans="1:93" ht="16" customHeight="1" x14ac:dyDescent="0.35">
      <c r="A3" s="19" t="s">
        <v>56</v>
      </c>
    </row>
    <row r="4" spans="1:93" ht="16" customHeight="1" x14ac:dyDescent="0.35">
      <c r="B4" s="19" t="s">
        <v>57</v>
      </c>
      <c r="C4" s="19" t="s">
        <v>17</v>
      </c>
      <c r="D4" s="19" t="s">
        <v>16</v>
      </c>
      <c r="E4" s="19" t="s">
        <v>15</v>
      </c>
      <c r="F4" s="19" t="s">
        <v>21</v>
      </c>
    </row>
    <row r="5" spans="1:93" ht="16" customHeight="1" x14ac:dyDescent="0.35">
      <c r="A5" s="19" t="s">
        <v>58</v>
      </c>
      <c r="B5" s="27">
        <v>3.2079638749275485</v>
      </c>
      <c r="C5" s="27">
        <v>3.2080594569448526</v>
      </c>
      <c r="D5" s="27">
        <v>2.6707775704739052</v>
      </c>
      <c r="E5" s="27">
        <v>3.0731156097231707</v>
      </c>
      <c r="F5" s="27">
        <v>3.1289931663731294</v>
      </c>
      <c r="G5" s="14"/>
      <c r="H5" s="14"/>
      <c r="I5" s="14"/>
      <c r="J5" s="14"/>
      <c r="K5" s="14"/>
      <c r="L5" s="28"/>
      <c r="M5" s="29"/>
      <c r="N5" s="29"/>
      <c r="O5" s="29"/>
      <c r="P5" s="29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</row>
    <row r="6" spans="1:93" ht="16" customHeight="1" x14ac:dyDescent="0.35">
      <c r="A6" s="19" t="s">
        <v>59</v>
      </c>
      <c r="B6" s="27">
        <v>1.1432708560449374</v>
      </c>
      <c r="C6" s="27">
        <v>1.1485063957521795</v>
      </c>
      <c r="D6" s="27">
        <v>1.1423546323756069</v>
      </c>
      <c r="E6" s="27">
        <v>1.1445156826367344</v>
      </c>
      <c r="F6" s="27">
        <v>1.1476229339229209</v>
      </c>
      <c r="G6" s="14"/>
      <c r="H6" s="14"/>
      <c r="I6" s="14"/>
      <c r="J6" s="14"/>
      <c r="K6" s="14"/>
      <c r="L6" s="28"/>
      <c r="M6" s="31"/>
      <c r="N6" s="29"/>
      <c r="O6" s="29"/>
      <c r="P6" s="29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</row>
    <row r="7" spans="1:93" ht="16" customHeight="1" x14ac:dyDescent="0.35">
      <c r="A7" s="19" t="s">
        <v>60</v>
      </c>
      <c r="B7" s="27">
        <v>0.96959412307344017</v>
      </c>
      <c r="C7" s="27">
        <v>0.92060333448442111</v>
      </c>
      <c r="D7" s="27">
        <v>0.73479038210143921</v>
      </c>
      <c r="E7" s="27">
        <v>0.77983020645834511</v>
      </c>
      <c r="F7" s="27">
        <v>0.80241798863430913</v>
      </c>
      <c r="G7" s="14"/>
      <c r="H7" s="14"/>
      <c r="I7" s="14"/>
      <c r="J7" s="14"/>
      <c r="K7" s="14"/>
      <c r="L7" s="28"/>
      <c r="M7" s="29"/>
      <c r="N7" s="29"/>
      <c r="O7" s="29"/>
      <c r="P7" s="29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</row>
    <row r="8" spans="1:93" ht="16" customHeight="1" x14ac:dyDescent="0.35">
      <c r="A8" s="19" t="s">
        <v>53</v>
      </c>
      <c r="B8" s="27">
        <v>1.7891917675651685</v>
      </c>
      <c r="C8" s="27">
        <v>1.784929775998481</v>
      </c>
      <c r="D8" s="27">
        <v>1.240146970959852</v>
      </c>
      <c r="E8" s="27">
        <v>1.624276402977471</v>
      </c>
      <c r="F8" s="27">
        <v>1.7228032574945416</v>
      </c>
      <c r="G8" s="14"/>
      <c r="H8" s="14"/>
      <c r="I8" s="14"/>
      <c r="J8" s="14"/>
      <c r="K8" s="14"/>
      <c r="L8" s="28"/>
      <c r="M8" s="29"/>
      <c r="N8" s="29"/>
      <c r="O8" s="29"/>
      <c r="P8" s="29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</row>
    <row r="9" spans="1:93" ht="16" customHeight="1" x14ac:dyDescent="0.35">
      <c r="A9" s="19" t="s">
        <v>61</v>
      </c>
      <c r="B9" s="27">
        <v>1.5496458246087195</v>
      </c>
      <c r="C9" s="27">
        <v>1.4735912756782372</v>
      </c>
      <c r="D9" s="27">
        <v>1.2216651104000811</v>
      </c>
      <c r="E9" s="27">
        <v>1.2157266245806575</v>
      </c>
      <c r="F9" s="27">
        <v>1.3507999355628595</v>
      </c>
      <c r="G9" s="14"/>
      <c r="H9" s="14"/>
      <c r="I9" s="14"/>
      <c r="J9" s="14"/>
      <c r="K9" s="14"/>
      <c r="L9" s="28"/>
      <c r="M9" s="29"/>
      <c r="N9" s="29"/>
      <c r="O9" s="29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</row>
    <row r="10" spans="1:93" s="32" customFormat="1" ht="22" customHeight="1" x14ac:dyDescent="0.35">
      <c r="A10" s="32" t="s">
        <v>62</v>
      </c>
      <c r="B10" s="27">
        <v>5.4562529956684571</v>
      </c>
      <c r="C10" s="27">
        <v>5.4333555668342477</v>
      </c>
      <c r="D10" s="27">
        <v>4.5130751837899892</v>
      </c>
      <c r="E10" s="27">
        <v>5.1388936425731382</v>
      </c>
      <c r="F10" s="27">
        <v>5.220146196568737</v>
      </c>
      <c r="G10" s="33"/>
      <c r="H10" s="33"/>
      <c r="I10" s="33"/>
      <c r="J10" s="33"/>
      <c r="K10" s="33"/>
      <c r="L10" s="28"/>
      <c r="M10" s="29"/>
      <c r="N10" s="29"/>
      <c r="O10" s="29"/>
      <c r="P10" s="29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</row>
    <row r="11" spans="1:93" ht="16" customHeight="1" x14ac:dyDescent="0.35">
      <c r="B11" s="16"/>
      <c r="C11" s="16"/>
      <c r="D11" s="16"/>
      <c r="E11" s="16"/>
      <c r="K11" s="28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</row>
    <row r="12" spans="1:93" ht="16" customHeight="1" x14ac:dyDescent="0.35">
      <c r="A12" t="s">
        <v>5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</row>
    <row r="13" spans="1:93" ht="16" customHeight="1" x14ac:dyDescent="0.35">
      <c r="G13" s="14"/>
      <c r="H13" s="14"/>
      <c r="I13" s="14"/>
      <c r="J13" s="14"/>
      <c r="K13" s="14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</row>
    <row r="14" spans="1:93" ht="16" customHeight="1" x14ac:dyDescent="0.35">
      <c r="A14" s="26"/>
      <c r="B14" s="26"/>
      <c r="C14" s="26"/>
      <c r="D14" s="26"/>
      <c r="E14" s="26"/>
      <c r="F14" s="26"/>
      <c r="G14" s="14"/>
      <c r="H14" s="14"/>
      <c r="I14" s="14"/>
      <c r="J14" s="14"/>
      <c r="K14" s="14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</row>
    <row r="15" spans="1:93" ht="16" customHeight="1" x14ac:dyDescent="0.35">
      <c r="G15" s="14"/>
      <c r="H15" s="14"/>
      <c r="I15" s="14"/>
      <c r="J15" s="14"/>
      <c r="K15" s="14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</row>
    <row r="16" spans="1:93" ht="16" customHeight="1" x14ac:dyDescent="0.35">
      <c r="G16" s="14"/>
      <c r="H16" s="14"/>
      <c r="I16" s="14"/>
      <c r="J16" s="14"/>
      <c r="K16" s="14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</row>
    <row r="17" spans="1:93" ht="16" customHeight="1" x14ac:dyDescent="0.35">
      <c r="A17" s="35"/>
      <c r="B17" s="35"/>
      <c r="C17" s="35"/>
      <c r="D17" s="35"/>
      <c r="E17" s="35"/>
      <c r="F17" s="35"/>
      <c r="G17" s="14"/>
      <c r="H17" s="14"/>
      <c r="I17" s="14"/>
      <c r="J17" s="14"/>
      <c r="K17" s="14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</row>
    <row r="18" spans="1:93" ht="16" customHeight="1" x14ac:dyDescent="0.35">
      <c r="G18" s="33"/>
      <c r="H18" s="33"/>
      <c r="I18" s="33"/>
      <c r="J18" s="33"/>
      <c r="K18" s="33"/>
      <c r="L18" s="30"/>
      <c r="M18" s="29"/>
      <c r="N18" s="29"/>
      <c r="O18" s="29"/>
      <c r="P18" s="29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</row>
    <row r="19" spans="1:93" ht="16" customHeight="1" x14ac:dyDescent="0.35">
      <c r="K19" s="30"/>
      <c r="L19" s="30"/>
      <c r="M19" s="29"/>
      <c r="N19" s="29"/>
      <c r="O19" s="29"/>
      <c r="P19" s="29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</row>
    <row r="20" spans="1:93" ht="16" customHeight="1" x14ac:dyDescent="0.35">
      <c r="G20" s="20"/>
      <c r="H20" s="20"/>
      <c r="I20" s="20"/>
      <c r="J20" s="20"/>
      <c r="K20" s="20"/>
      <c r="L20" s="30"/>
      <c r="M20" s="29"/>
      <c r="N20" s="29"/>
      <c r="O20" s="29"/>
      <c r="P20" s="29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</row>
    <row r="21" spans="1:93" s="32" customFormat="1" ht="22" customHeight="1" x14ac:dyDescent="0.35">
      <c r="G21" s="20"/>
      <c r="H21" s="20"/>
      <c r="I21" s="20"/>
      <c r="J21" s="20"/>
      <c r="K21" s="20"/>
      <c r="L21" s="34"/>
      <c r="M21" s="29"/>
      <c r="N21" s="29"/>
      <c r="O21" s="29"/>
      <c r="P21" s="29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</row>
    <row r="22" spans="1:93" ht="16" customHeight="1" x14ac:dyDescent="0.35">
      <c r="G22" s="20"/>
      <c r="H22" s="20"/>
      <c r="I22" s="20"/>
      <c r="J22" s="20"/>
      <c r="K22" s="20"/>
      <c r="L22" s="30"/>
      <c r="M22" s="29"/>
      <c r="N22" s="29"/>
      <c r="O22" s="29"/>
      <c r="P22" s="29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</row>
    <row r="23" spans="1:93" ht="16" customHeight="1" x14ac:dyDescent="0.35">
      <c r="G23" s="20"/>
      <c r="H23" s="20"/>
      <c r="I23" s="20"/>
      <c r="J23" s="20"/>
      <c r="K23" s="20"/>
      <c r="L23" s="30"/>
      <c r="M23" s="29"/>
      <c r="N23" s="29"/>
      <c r="O23" s="29"/>
      <c r="P23" s="29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</row>
    <row r="24" spans="1:93" s="32" customFormat="1" ht="22" customHeight="1" x14ac:dyDescent="0.35">
      <c r="G24" s="20"/>
      <c r="H24" s="20"/>
      <c r="I24" s="20"/>
      <c r="J24" s="20"/>
      <c r="K24" s="20"/>
      <c r="L24" s="34"/>
      <c r="M24" s="29"/>
      <c r="N24" s="29"/>
      <c r="O24" s="29"/>
      <c r="P24" s="29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</row>
    <row r="25" spans="1:93" ht="16" customHeight="1" x14ac:dyDescent="0.35">
      <c r="G25" s="20"/>
      <c r="H25" s="20"/>
      <c r="I25" s="20"/>
      <c r="J25" s="20"/>
      <c r="K25" s="20"/>
      <c r="M25" s="29"/>
      <c r="N25" s="29"/>
      <c r="O25" s="29"/>
      <c r="P25" s="29"/>
    </row>
    <row r="26" spans="1:93" ht="16" customHeight="1" x14ac:dyDescent="0.35">
      <c r="G26" s="20"/>
      <c r="H26" s="20"/>
      <c r="I26" s="20"/>
      <c r="J26" s="20"/>
    </row>
    <row r="27" spans="1:93" ht="16" customHeight="1" x14ac:dyDescent="0.35">
      <c r="G27" s="20"/>
      <c r="H27" s="20"/>
      <c r="I27" s="20"/>
      <c r="J27" s="20"/>
      <c r="K27" s="20"/>
    </row>
    <row r="28" spans="1:93" ht="16" customHeight="1" x14ac:dyDescent="0.35">
      <c r="A28" s="26"/>
      <c r="B28" s="26"/>
      <c r="C28" s="26"/>
      <c r="D28" s="26"/>
      <c r="E28" s="26"/>
      <c r="F28" s="26"/>
      <c r="G28" s="20"/>
      <c r="H28" s="20"/>
      <c r="I28" s="20"/>
      <c r="J28" s="20"/>
      <c r="K28" s="20"/>
    </row>
    <row r="29" spans="1:93" ht="16" customHeight="1" x14ac:dyDescent="0.35">
      <c r="G29" s="20"/>
      <c r="H29" s="20"/>
      <c r="I29" s="20"/>
      <c r="J29" s="20"/>
      <c r="K29" s="20"/>
    </row>
    <row r="30" spans="1:93" ht="16" customHeight="1" x14ac:dyDescent="0.35">
      <c r="G30" s="20"/>
      <c r="H30" s="20"/>
      <c r="I30" s="20"/>
      <c r="J30" s="20"/>
      <c r="K30" s="20"/>
    </row>
    <row r="31" spans="1:93" ht="16" customHeight="1" x14ac:dyDescent="0.35">
      <c r="A31" s="35"/>
      <c r="B31" s="35"/>
      <c r="C31" s="35"/>
      <c r="D31" s="35"/>
      <c r="E31" s="35"/>
      <c r="F31" s="35"/>
      <c r="G31" s="20"/>
      <c r="H31" s="20"/>
      <c r="I31" s="20"/>
      <c r="J31" s="20"/>
      <c r="K31" s="20"/>
    </row>
    <row r="32" spans="1:93" ht="16" customHeight="1" x14ac:dyDescent="0.35">
      <c r="G32" s="20"/>
      <c r="H32" s="20"/>
      <c r="I32" s="20"/>
      <c r="J32" s="20"/>
      <c r="K32" s="20"/>
      <c r="L32" s="36"/>
      <c r="M32" s="31"/>
      <c r="N32" s="31"/>
      <c r="O32" s="31"/>
      <c r="P32" s="31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</row>
    <row r="33" spans="1:93" ht="16" customHeight="1" x14ac:dyDescent="0.35">
      <c r="G33" s="20"/>
      <c r="H33" s="20"/>
      <c r="I33" s="20"/>
      <c r="J33" s="20"/>
      <c r="K33" s="31"/>
      <c r="L33" s="36"/>
      <c r="M33" s="31"/>
      <c r="N33" s="31"/>
      <c r="O33" s="31"/>
      <c r="P33" s="31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</row>
    <row r="34" spans="1:93" ht="16" customHeight="1" x14ac:dyDescent="0.35">
      <c r="K34" s="31"/>
      <c r="L34" s="36"/>
      <c r="M34" s="31"/>
      <c r="N34" s="31"/>
      <c r="O34" s="31"/>
      <c r="P34" s="31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</row>
    <row r="35" spans="1:93" ht="16" customHeight="1" x14ac:dyDescent="0.35">
      <c r="K35" s="31"/>
      <c r="L35" s="36"/>
      <c r="M35" s="31"/>
      <c r="N35" s="31"/>
      <c r="O35" s="31"/>
      <c r="P35" s="31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</row>
    <row r="36" spans="1:93" ht="16" customHeight="1" x14ac:dyDescent="0.35">
      <c r="K36" s="31"/>
      <c r="L36" s="36"/>
      <c r="M36" s="31"/>
      <c r="N36" s="31"/>
      <c r="O36" s="31"/>
      <c r="P36" s="31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</row>
    <row r="37" spans="1:93" ht="16" customHeight="1" x14ac:dyDescent="0.35">
      <c r="K37" s="31"/>
      <c r="L37" s="36"/>
      <c r="M37" s="31"/>
      <c r="N37" s="31"/>
      <c r="O37" s="31"/>
      <c r="P37" s="31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</row>
    <row r="38" spans="1:93" s="32" customFormat="1" ht="22" customHeight="1" x14ac:dyDescent="0.35">
      <c r="G38" s="4"/>
      <c r="H38" s="4"/>
      <c r="I38" s="4"/>
      <c r="J38" s="4"/>
      <c r="K38" s="37"/>
      <c r="L38" s="38"/>
      <c r="M38" s="31"/>
      <c r="N38" s="31"/>
      <c r="O38" s="31"/>
      <c r="P38" s="31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</row>
    <row r="39" spans="1:93" ht="16" customHeight="1" x14ac:dyDescent="0.35">
      <c r="M39" s="31"/>
      <c r="N39" s="31"/>
      <c r="O39" s="31"/>
      <c r="P39" s="31"/>
    </row>
    <row r="40" spans="1:93" ht="16" customHeight="1" x14ac:dyDescent="0.35"/>
    <row r="41" spans="1:93" ht="16" customHeight="1" x14ac:dyDescent="0.35"/>
    <row r="42" spans="1:93" ht="16" customHeight="1" x14ac:dyDescent="0.35"/>
    <row r="43" spans="1:93" ht="16" customHeight="1" x14ac:dyDescent="0.35"/>
    <row r="44" spans="1:93" ht="16" customHeight="1" x14ac:dyDescent="0.35"/>
    <row r="45" spans="1:93" ht="16" customHeight="1" x14ac:dyDescent="0.35">
      <c r="A45" s="39"/>
      <c r="B45" s="39"/>
      <c r="C45" s="39"/>
      <c r="D45" s="39"/>
      <c r="E45" s="39"/>
      <c r="F45" s="39"/>
    </row>
    <row r="46" spans="1:93" ht="16" customHeight="1" x14ac:dyDescent="0.35"/>
    <row r="47" spans="1:93" ht="16" customHeight="1" x14ac:dyDescent="0.35"/>
    <row r="48" spans="1:93" ht="16" customHeight="1" x14ac:dyDescent="0.35"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</row>
    <row r="49" ht="16" customHeight="1" x14ac:dyDescent="0.35"/>
    <row r="50" ht="16" customHeight="1" x14ac:dyDescent="0.35"/>
    <row r="51" ht="16" customHeight="1" x14ac:dyDescent="0.35"/>
    <row r="52" ht="16" customHeight="1" x14ac:dyDescent="0.35"/>
    <row r="53" ht="16" customHeight="1" x14ac:dyDescent="0.35"/>
    <row r="54" ht="16" customHeight="1" x14ac:dyDescent="0.35"/>
    <row r="55" ht="16" customHeight="1" x14ac:dyDescent="0.35"/>
    <row r="56" ht="16" customHeight="1" x14ac:dyDescent="0.35"/>
    <row r="57" ht="16" customHeight="1" x14ac:dyDescent="0.35"/>
    <row r="58" ht="16" customHeight="1" x14ac:dyDescent="0.35"/>
    <row r="59" ht="16" customHeight="1" x14ac:dyDescent="0.35"/>
    <row r="60" ht="16" customHeight="1" x14ac:dyDescent="0.35"/>
    <row r="61" ht="16" customHeight="1" x14ac:dyDescent="0.35"/>
    <row r="62" ht="16" customHeight="1" x14ac:dyDescent="0.35"/>
    <row r="63" ht="16" customHeight="1" x14ac:dyDescent="0.35"/>
    <row r="64" ht="16" customHeight="1" x14ac:dyDescent="0.35"/>
    <row r="65" ht="16" customHeight="1" x14ac:dyDescent="0.35"/>
    <row r="66" ht="16" customHeight="1" x14ac:dyDescent="0.35"/>
    <row r="67" ht="16" customHeight="1" x14ac:dyDescent="0.35"/>
    <row r="68" ht="16" customHeight="1" x14ac:dyDescent="0.35"/>
    <row r="69" ht="16" customHeight="1" x14ac:dyDescent="0.35"/>
    <row r="70" ht="16" customHeight="1" x14ac:dyDescent="0.35"/>
    <row r="71" ht="16" customHeight="1" x14ac:dyDescent="0.35"/>
    <row r="72" ht="16" customHeight="1" x14ac:dyDescent="0.35"/>
    <row r="73" ht="16" customHeight="1" x14ac:dyDescent="0.35"/>
    <row r="74" ht="16" customHeight="1" x14ac:dyDescent="0.35"/>
    <row r="75" ht="16" customHeight="1" x14ac:dyDescent="0.35"/>
    <row r="76" ht="16" customHeight="1" x14ac:dyDescent="0.35"/>
    <row r="77" ht="16" customHeight="1" x14ac:dyDescent="0.35"/>
    <row r="78" ht="16" customHeight="1" x14ac:dyDescent="0.35"/>
    <row r="79" ht="16" customHeight="1" x14ac:dyDescent="0.35"/>
    <row r="80" ht="16" customHeight="1" x14ac:dyDescent="0.35"/>
    <row r="81" ht="16" customHeight="1" x14ac:dyDescent="0.35"/>
    <row r="82" ht="16" customHeight="1" x14ac:dyDescent="0.35"/>
    <row r="83" ht="16" customHeight="1" x14ac:dyDescent="0.35"/>
    <row r="84" ht="16" customHeight="1" x14ac:dyDescent="0.35"/>
    <row r="85" ht="16" customHeight="1" x14ac:dyDescent="0.35"/>
    <row r="86" ht="16" customHeight="1" x14ac:dyDescent="0.35"/>
    <row r="87" ht="16" customHeight="1" x14ac:dyDescent="0.35"/>
    <row r="88" ht="16" customHeight="1" x14ac:dyDescent="0.35"/>
    <row r="89" ht="16" customHeight="1" x14ac:dyDescent="0.35"/>
    <row r="90" ht="16" customHeight="1" x14ac:dyDescent="0.35"/>
    <row r="91" ht="16" customHeight="1" x14ac:dyDescent="0.35"/>
    <row r="92" ht="16" customHeight="1" x14ac:dyDescent="0.35"/>
    <row r="93" ht="16" customHeight="1" x14ac:dyDescent="0.35"/>
    <row r="94" ht="16" customHeight="1" x14ac:dyDescent="0.35"/>
    <row r="95" ht="16" customHeight="1" x14ac:dyDescent="0.35"/>
    <row r="96" ht="16" customHeight="1" x14ac:dyDescent="0.35"/>
    <row r="97" ht="16" customHeight="1" x14ac:dyDescent="0.35"/>
    <row r="98" ht="16" customHeight="1" x14ac:dyDescent="0.35"/>
    <row r="99" ht="16" customHeight="1" x14ac:dyDescent="0.35"/>
    <row r="100" ht="16" customHeight="1" x14ac:dyDescent="0.35"/>
    <row r="101" ht="16" customHeight="1" x14ac:dyDescent="0.35"/>
    <row r="102" ht="16" customHeight="1" x14ac:dyDescent="0.35"/>
    <row r="103" ht="16" customHeight="1" x14ac:dyDescent="0.35"/>
    <row r="104" ht="16" customHeight="1" x14ac:dyDescent="0.35"/>
    <row r="105" ht="16" customHeight="1" x14ac:dyDescent="0.35"/>
    <row r="106" ht="16" customHeight="1" x14ac:dyDescent="0.35"/>
    <row r="107" ht="16" customHeight="1" x14ac:dyDescent="0.35"/>
    <row r="108" ht="16" customHeight="1" x14ac:dyDescent="0.35"/>
    <row r="109" ht="16" customHeight="1" x14ac:dyDescent="0.35"/>
    <row r="110" ht="16" customHeight="1" x14ac:dyDescent="0.35"/>
    <row r="111" ht="16" customHeight="1" x14ac:dyDescent="0.35"/>
    <row r="112" ht="16" customHeight="1" x14ac:dyDescent="0.35"/>
    <row r="113" ht="16" customHeight="1" x14ac:dyDescent="0.35"/>
    <row r="114" ht="16" customHeight="1" x14ac:dyDescent="0.35"/>
    <row r="115" ht="16" customHeight="1" x14ac:dyDescent="0.35"/>
    <row r="116" ht="16" customHeight="1" x14ac:dyDescent="0.35"/>
    <row r="117" ht="16" customHeight="1" x14ac:dyDescent="0.35"/>
    <row r="118" ht="16" customHeight="1" x14ac:dyDescent="0.35"/>
    <row r="119" ht="16" customHeight="1" x14ac:dyDescent="0.35"/>
    <row r="120" ht="16" customHeight="1" x14ac:dyDescent="0.35"/>
    <row r="121" ht="16" customHeight="1" x14ac:dyDescent="0.35"/>
    <row r="122" ht="16" customHeight="1" x14ac:dyDescent="0.35"/>
    <row r="123" ht="16" customHeight="1" x14ac:dyDescent="0.35"/>
    <row r="124" ht="16" customHeight="1" x14ac:dyDescent="0.35"/>
    <row r="125" ht="16" customHeight="1" x14ac:dyDescent="0.35"/>
    <row r="126" ht="16" customHeight="1" x14ac:dyDescent="0.35"/>
    <row r="127" ht="16" customHeight="1" x14ac:dyDescent="0.35"/>
    <row r="128" ht="16" customHeight="1" x14ac:dyDescent="0.35"/>
    <row r="129" ht="16" customHeight="1" x14ac:dyDescent="0.35"/>
    <row r="130" ht="16" customHeight="1" x14ac:dyDescent="0.35"/>
    <row r="131" ht="16" customHeight="1" x14ac:dyDescent="0.35"/>
    <row r="132" ht="16" customHeight="1" x14ac:dyDescent="0.35"/>
    <row r="133" ht="16" customHeight="1" x14ac:dyDescent="0.35"/>
    <row r="134" ht="16" customHeight="1" x14ac:dyDescent="0.35"/>
    <row r="135" ht="16" customHeight="1" x14ac:dyDescent="0.35"/>
    <row r="136" ht="16" customHeight="1" x14ac:dyDescent="0.35"/>
    <row r="137" ht="16" customHeight="1" x14ac:dyDescent="0.35"/>
    <row r="138" ht="16" customHeight="1" x14ac:dyDescent="0.35"/>
    <row r="139" ht="16" customHeight="1" x14ac:dyDescent="0.35"/>
    <row r="140" ht="16" customHeight="1" x14ac:dyDescent="0.35"/>
    <row r="141" ht="16" customHeight="1" x14ac:dyDescent="0.35"/>
    <row r="142" ht="16" customHeight="1" x14ac:dyDescent="0.35"/>
    <row r="143" ht="16" customHeight="1" x14ac:dyDescent="0.35"/>
    <row r="144" ht="16" customHeight="1" x14ac:dyDescent="0.3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zoomScale="51" zoomScaleNormal="51" workbookViewId="0">
      <pane xSplit="1" ySplit="3" topLeftCell="K4" activePane="bottomRight" state="frozen"/>
      <selection activeCell="G11" sqref="G11"/>
      <selection pane="topRight" activeCell="G11" sqref="G11"/>
      <selection pane="bottomLeft" activeCell="G11" sqref="G11"/>
      <selection pane="bottomRight" activeCell="U43" sqref="U43"/>
    </sheetView>
  </sheetViews>
  <sheetFormatPr defaultColWidth="9.08984375" defaultRowHeight="14.5" x14ac:dyDescent="0.35"/>
  <cols>
    <col min="1" max="1" width="33.08984375" customWidth="1"/>
    <col min="2" max="2" width="12" bestFit="1" customWidth="1"/>
    <col min="3" max="3" width="10.7265625" customWidth="1"/>
    <col min="4" max="8" width="10.7265625" bestFit="1" customWidth="1"/>
    <col min="9" max="10" width="10.1796875" bestFit="1" customWidth="1"/>
    <col min="11" max="11" width="10.1796875" style="15" customWidth="1"/>
    <col min="16" max="17" width="10.54296875" bestFit="1" customWidth="1"/>
  </cols>
  <sheetData>
    <row r="1" spans="1:22" s="15" customFormat="1" ht="26" customHeight="1" x14ac:dyDescent="0.6">
      <c r="A1" s="2" t="s">
        <v>103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2" x14ac:dyDescent="0.35">
      <c r="A2" s="47"/>
      <c r="B2" s="47"/>
      <c r="C2" s="47"/>
      <c r="D2" s="47"/>
      <c r="E2" s="47"/>
      <c r="F2" s="47"/>
      <c r="G2" s="47"/>
      <c r="H2" s="47"/>
      <c r="I2" s="47"/>
      <c r="J2" s="47"/>
      <c r="K2" s="46"/>
    </row>
    <row r="3" spans="1:22" s="52" customFormat="1" x14ac:dyDescent="0.35">
      <c r="A3" s="48"/>
      <c r="B3" s="49">
        <v>2008</v>
      </c>
      <c r="C3" s="49">
        <v>2009</v>
      </c>
      <c r="D3" s="49">
        <v>2010</v>
      </c>
      <c r="E3" s="49">
        <v>2011</v>
      </c>
      <c r="F3" s="49">
        <v>2012</v>
      </c>
      <c r="G3" s="49">
        <v>2013</v>
      </c>
      <c r="H3" s="49">
        <v>2014</v>
      </c>
      <c r="I3" s="49">
        <v>2015</v>
      </c>
      <c r="J3" s="49">
        <v>2016</v>
      </c>
      <c r="K3" s="50">
        <v>2017</v>
      </c>
      <c r="L3" s="49">
        <v>2018</v>
      </c>
      <c r="M3" s="51">
        <v>2019</v>
      </c>
      <c r="N3" s="51" t="s">
        <v>17</v>
      </c>
      <c r="O3" s="51" t="s">
        <v>16</v>
      </c>
      <c r="P3" s="52" t="s">
        <v>15</v>
      </c>
      <c r="Q3" s="49" t="s">
        <v>21</v>
      </c>
      <c r="R3" s="49" t="s">
        <v>104</v>
      </c>
      <c r="S3" s="49"/>
      <c r="T3" s="49"/>
      <c r="U3" s="49"/>
      <c r="V3" s="49"/>
    </row>
    <row r="4" spans="1:22" x14ac:dyDescent="0.35">
      <c r="A4" s="47" t="s">
        <v>14</v>
      </c>
      <c r="B4" s="47">
        <f t="shared" ref="B4:Q7" si="0">ROUND(B10/10,0)*10</f>
        <v>810</v>
      </c>
      <c r="C4" s="47">
        <f t="shared" si="0"/>
        <v>650</v>
      </c>
      <c r="D4" s="47">
        <f t="shared" si="0"/>
        <v>650</v>
      </c>
      <c r="E4" s="47">
        <f t="shared" si="0"/>
        <v>670</v>
      </c>
      <c r="F4" s="47">
        <f t="shared" si="0"/>
        <v>720</v>
      </c>
      <c r="G4" s="47">
        <f t="shared" si="0"/>
        <v>710</v>
      </c>
      <c r="H4" s="47">
        <f t="shared" si="0"/>
        <v>740</v>
      </c>
      <c r="I4" s="47">
        <f t="shared" si="0"/>
        <v>860</v>
      </c>
      <c r="J4" s="47">
        <f t="shared" si="0"/>
        <v>920</v>
      </c>
      <c r="K4" s="47">
        <f t="shared" si="0"/>
        <v>850</v>
      </c>
      <c r="L4" s="47">
        <f t="shared" si="0"/>
        <v>850</v>
      </c>
      <c r="M4" s="53">
        <f>ROUND(M10/10,0)*10</f>
        <v>890</v>
      </c>
      <c r="N4" s="53">
        <f>ROUND(N10/10,0)*10</f>
        <v>860</v>
      </c>
      <c r="O4" s="53">
        <f>ROUND(O10/10,0)*10</f>
        <v>800</v>
      </c>
      <c r="P4" s="53">
        <f>ROUND(P10/10,0)*10</f>
        <v>810</v>
      </c>
      <c r="Q4" s="53">
        <f>ROUND(Q10/10,0)*10</f>
        <v>810</v>
      </c>
      <c r="R4" s="20">
        <f>Q4/M4-1</f>
        <v>-8.98876404494382E-2</v>
      </c>
      <c r="S4" s="47"/>
      <c r="T4" s="47"/>
      <c r="U4" s="47"/>
    </row>
    <row r="5" spans="1:22" x14ac:dyDescent="0.35">
      <c r="A5" s="47" t="s">
        <v>105</v>
      </c>
      <c r="B5" s="47">
        <f t="shared" si="0"/>
        <v>2100</v>
      </c>
      <c r="C5" s="47">
        <f t="shared" si="0"/>
        <v>1890</v>
      </c>
      <c r="D5" s="47">
        <f t="shared" si="0"/>
        <v>1890</v>
      </c>
      <c r="E5" s="47">
        <f t="shared" si="0"/>
        <v>1910</v>
      </c>
      <c r="F5" s="47">
        <f t="shared" si="0"/>
        <v>1810</v>
      </c>
      <c r="G5" s="47">
        <f t="shared" si="0"/>
        <v>1770</v>
      </c>
      <c r="H5" s="47">
        <f t="shared" si="0"/>
        <v>1750</v>
      </c>
      <c r="I5" s="47">
        <f t="shared" si="0"/>
        <v>1740</v>
      </c>
      <c r="J5" s="47">
        <f t="shared" si="0"/>
        <v>1730</v>
      </c>
      <c r="K5" s="47">
        <f t="shared" si="0"/>
        <v>1790</v>
      </c>
      <c r="L5" s="47">
        <f t="shared" si="0"/>
        <v>1770</v>
      </c>
      <c r="M5" s="53">
        <f t="shared" si="0"/>
        <v>1720</v>
      </c>
      <c r="N5" s="53">
        <f t="shared" si="0"/>
        <v>1710</v>
      </c>
      <c r="O5" s="53">
        <f t="shared" si="0"/>
        <v>1460</v>
      </c>
      <c r="P5" s="53">
        <f t="shared" si="0"/>
        <v>1460</v>
      </c>
      <c r="Q5" s="53">
        <f t="shared" si="0"/>
        <v>1490</v>
      </c>
      <c r="R5" s="20">
        <f t="shared" ref="R5:R24" si="1">Q5/M5-1</f>
        <v>-0.13372093023255816</v>
      </c>
      <c r="S5" s="47"/>
      <c r="T5" s="47"/>
      <c r="U5" s="47"/>
    </row>
    <row r="6" spans="1:22" x14ac:dyDescent="0.35">
      <c r="A6" s="47" t="s">
        <v>106</v>
      </c>
      <c r="B6" s="47">
        <f t="shared" si="0"/>
        <v>90</v>
      </c>
      <c r="C6" s="47">
        <f t="shared" si="0"/>
        <v>110</v>
      </c>
      <c r="D6" s="47">
        <f t="shared" si="0"/>
        <v>100</v>
      </c>
      <c r="E6" s="47">
        <f t="shared" si="0"/>
        <v>90</v>
      </c>
      <c r="F6" s="47">
        <f t="shared" si="0"/>
        <v>100</v>
      </c>
      <c r="G6" s="47">
        <f t="shared" si="0"/>
        <v>130</v>
      </c>
      <c r="H6" s="47">
        <f t="shared" si="0"/>
        <v>100</v>
      </c>
      <c r="I6" s="47">
        <f t="shared" si="0"/>
        <v>120</v>
      </c>
      <c r="J6" s="47">
        <f t="shared" si="0"/>
        <v>130</v>
      </c>
      <c r="K6" s="47">
        <f t="shared" si="0"/>
        <v>150</v>
      </c>
      <c r="L6" s="47">
        <f t="shared" si="0"/>
        <v>130</v>
      </c>
      <c r="M6" s="53">
        <f t="shared" si="0"/>
        <v>120</v>
      </c>
      <c r="N6" s="53">
        <f t="shared" si="0"/>
        <v>120</v>
      </c>
      <c r="O6" s="53">
        <f t="shared" si="0"/>
        <v>110</v>
      </c>
      <c r="P6" s="53">
        <f t="shared" si="0"/>
        <v>90</v>
      </c>
      <c r="Q6" s="53">
        <f t="shared" si="0"/>
        <v>100</v>
      </c>
      <c r="R6" s="20">
        <f t="shared" si="1"/>
        <v>-0.16666666666666663</v>
      </c>
      <c r="S6" s="47"/>
      <c r="T6" s="47"/>
      <c r="U6" s="47"/>
    </row>
    <row r="7" spans="1:22" x14ac:dyDescent="0.35">
      <c r="A7" s="47" t="s">
        <v>107</v>
      </c>
      <c r="B7" s="47">
        <f t="shared" si="0"/>
        <v>1280</v>
      </c>
      <c r="C7" s="47">
        <f t="shared" si="0"/>
        <v>1180</v>
      </c>
      <c r="D7" s="47">
        <f t="shared" si="0"/>
        <v>1110</v>
      </c>
      <c r="E7" s="47">
        <f t="shared" si="0"/>
        <v>1110</v>
      </c>
      <c r="F7" s="47">
        <f t="shared" si="0"/>
        <v>1130</v>
      </c>
      <c r="G7" s="47">
        <f t="shared" si="0"/>
        <v>1200</v>
      </c>
      <c r="H7" s="47">
        <f t="shared" si="0"/>
        <v>1330</v>
      </c>
      <c r="I7" s="47">
        <f t="shared" si="0"/>
        <v>1440</v>
      </c>
      <c r="J7" s="47">
        <f t="shared" si="0"/>
        <v>1480</v>
      </c>
      <c r="K7" s="47">
        <f t="shared" si="0"/>
        <v>1390</v>
      </c>
      <c r="L7" s="47">
        <f t="shared" si="0"/>
        <v>1480</v>
      </c>
      <c r="M7" s="53">
        <f t="shared" si="0"/>
        <v>1350</v>
      </c>
      <c r="N7" s="53">
        <f t="shared" si="0"/>
        <v>1340</v>
      </c>
      <c r="O7" s="53">
        <f t="shared" si="0"/>
        <v>1070</v>
      </c>
      <c r="P7" s="53">
        <f t="shared" si="0"/>
        <v>1080</v>
      </c>
      <c r="Q7" s="53">
        <f t="shared" si="0"/>
        <v>1170</v>
      </c>
      <c r="R7" s="20">
        <f t="shared" si="1"/>
        <v>-0.1333333333333333</v>
      </c>
      <c r="S7" s="47"/>
      <c r="T7" s="47"/>
      <c r="U7" s="47"/>
    </row>
    <row r="8" spans="1:22" x14ac:dyDescent="0.35">
      <c r="A8" s="54" t="s">
        <v>108</v>
      </c>
      <c r="B8" s="47">
        <f t="shared" ref="B8:J8" si="2">B14/1000</f>
        <v>10.310703728135223</v>
      </c>
      <c r="C8" s="47">
        <f t="shared" si="2"/>
        <v>10.537444066751657</v>
      </c>
      <c r="D8" s="47">
        <f t="shared" si="2"/>
        <v>10.060134822982107</v>
      </c>
      <c r="E8" s="47">
        <f t="shared" si="2"/>
        <v>10.150826195119054</v>
      </c>
      <c r="F8" s="47">
        <f t="shared" si="2"/>
        <v>10.563453269479314</v>
      </c>
      <c r="G8" s="47">
        <f t="shared" si="2"/>
        <v>10.880973396195936</v>
      </c>
      <c r="H8" s="55">
        <f>H14/1000</f>
        <v>11.16552039170227</v>
      </c>
      <c r="I8" s="47">
        <f t="shared" si="2"/>
        <v>11.496774393961918</v>
      </c>
      <c r="J8" s="47">
        <f t="shared" si="2"/>
        <v>11.284697592707856</v>
      </c>
      <c r="K8" s="46">
        <v>11.896543919969721</v>
      </c>
      <c r="L8" s="47">
        <f t="shared" ref="L8:Q8" si="3">L14/1000</f>
        <v>12.057454964847548</v>
      </c>
      <c r="M8" s="53">
        <f t="shared" si="3"/>
        <v>12.565061293858697</v>
      </c>
      <c r="N8" s="53">
        <f t="shared" si="3"/>
        <v>12.353141650510768</v>
      </c>
      <c r="O8" s="53">
        <f t="shared" si="3"/>
        <v>10.714611143973746</v>
      </c>
      <c r="P8" s="53">
        <f t="shared" si="3"/>
        <v>11.253321344765055</v>
      </c>
      <c r="Q8" s="53">
        <f t="shared" si="3"/>
        <v>11.457518888150862</v>
      </c>
      <c r="R8" s="20">
        <f t="shared" si="1"/>
        <v>-8.8144608275739889E-2</v>
      </c>
      <c r="S8" s="47"/>
      <c r="T8" s="47"/>
      <c r="U8" s="47"/>
    </row>
    <row r="9" spans="1:22" x14ac:dyDescent="0.35">
      <c r="A9" s="47"/>
      <c r="B9" s="47"/>
      <c r="C9" s="47"/>
      <c r="D9" s="47"/>
      <c r="E9" s="47"/>
      <c r="F9" s="47"/>
      <c r="G9" s="47"/>
      <c r="H9" s="47"/>
      <c r="I9" s="47"/>
      <c r="J9" s="47"/>
      <c r="K9" s="46"/>
      <c r="M9" s="47"/>
      <c r="N9" s="47"/>
      <c r="O9" s="47"/>
      <c r="Q9" s="56"/>
      <c r="R9" s="20"/>
      <c r="S9" s="47"/>
      <c r="T9" s="47"/>
      <c r="U9" s="47"/>
    </row>
    <row r="10" spans="1:22" x14ac:dyDescent="0.35">
      <c r="A10" s="47" t="s">
        <v>14</v>
      </c>
      <c r="B10" s="57">
        <v>806.56191758766488</v>
      </c>
      <c r="C10" s="57">
        <v>647.08990643913376</v>
      </c>
      <c r="D10" s="57">
        <v>648.96148704883922</v>
      </c>
      <c r="E10" s="57">
        <v>670.53681665134593</v>
      </c>
      <c r="F10" s="57">
        <v>717.9011545544065</v>
      </c>
      <c r="G10" s="57">
        <v>713.49545916067405</v>
      </c>
      <c r="H10" s="57">
        <v>741.89424288808391</v>
      </c>
      <c r="I10" s="57">
        <v>860.31987489221569</v>
      </c>
      <c r="J10" s="57">
        <v>919.39347935511137</v>
      </c>
      <c r="K10" s="58">
        <v>849.49510449023512</v>
      </c>
      <c r="L10" s="57">
        <v>849.30261226257755</v>
      </c>
      <c r="M10" s="57">
        <v>885.2102771565693</v>
      </c>
      <c r="N10" s="57">
        <v>864.69808531050739</v>
      </c>
      <c r="O10" s="57">
        <v>799.03318023874021</v>
      </c>
      <c r="P10" s="57">
        <v>807.8819132980949</v>
      </c>
      <c r="Q10" s="4">
        <v>810.20859416321014</v>
      </c>
      <c r="R10" s="20">
        <f t="shared" si="1"/>
        <v>-8.4727533026701884E-2</v>
      </c>
      <c r="S10" s="47"/>
      <c r="T10" s="47"/>
      <c r="U10" s="47"/>
    </row>
    <row r="11" spans="1:22" x14ac:dyDescent="0.35">
      <c r="A11" s="47" t="s">
        <v>105</v>
      </c>
      <c r="B11" s="57">
        <v>2097.1740190934156</v>
      </c>
      <c r="C11" s="57">
        <v>1886.2485974333208</v>
      </c>
      <c r="D11" s="57">
        <v>1888.5846889160332</v>
      </c>
      <c r="E11" s="57">
        <v>1909.3748189180458</v>
      </c>
      <c r="F11" s="57">
        <v>1814.4799819814725</v>
      </c>
      <c r="G11" s="57">
        <v>1766.3449172739579</v>
      </c>
      <c r="H11" s="57">
        <v>1749.4085891183986</v>
      </c>
      <c r="I11" s="57">
        <v>1738.144213221572</v>
      </c>
      <c r="J11" s="57">
        <v>1727.3661098743169</v>
      </c>
      <c r="K11" s="58">
        <v>1790.6225706028654</v>
      </c>
      <c r="L11" s="57">
        <v>1766.1924353711122</v>
      </c>
      <c r="M11" s="57">
        <v>1720.3909783353508</v>
      </c>
      <c r="N11" s="57">
        <v>1705.8407742046122</v>
      </c>
      <c r="O11" s="57">
        <v>1455.824590520469</v>
      </c>
      <c r="P11" s="57">
        <v>1459.5931165319957</v>
      </c>
      <c r="Q11" s="4">
        <v>1490.6311042011862</v>
      </c>
      <c r="R11" s="20">
        <f t="shared" si="1"/>
        <v>-0.13355096430259139</v>
      </c>
      <c r="S11" s="47"/>
      <c r="T11" s="47"/>
      <c r="U11" s="47"/>
    </row>
    <row r="12" spans="1:22" x14ac:dyDescent="0.35">
      <c r="A12" s="47" t="s">
        <v>106</v>
      </c>
      <c r="B12" s="57">
        <v>94.348621244466969</v>
      </c>
      <c r="C12" s="57">
        <v>109.14405252269792</v>
      </c>
      <c r="D12" s="57">
        <v>96.225263947057172</v>
      </c>
      <c r="E12" s="57">
        <v>85.868725908088294</v>
      </c>
      <c r="F12" s="57">
        <v>102.16069822850054</v>
      </c>
      <c r="G12" s="57">
        <v>126.75293540863822</v>
      </c>
      <c r="H12" s="57">
        <v>103.51600238129718</v>
      </c>
      <c r="I12" s="57">
        <v>123.3025075927481</v>
      </c>
      <c r="J12" s="57">
        <v>131.25469894574687</v>
      </c>
      <c r="K12" s="58">
        <v>149.39793692314194</v>
      </c>
      <c r="L12" s="57">
        <v>133.70487960491897</v>
      </c>
      <c r="M12" s="57">
        <v>119.71213844158882</v>
      </c>
      <c r="N12" s="57">
        <v>115.546621134833</v>
      </c>
      <c r="O12" s="57">
        <v>112.92632578915391</v>
      </c>
      <c r="P12" s="57">
        <v>90.408252991110487</v>
      </c>
      <c r="Q12" s="4">
        <v>99.112065250700837</v>
      </c>
      <c r="R12" s="20">
        <f t="shared" si="1"/>
        <v>-0.17208007023397531</v>
      </c>
      <c r="S12" s="47"/>
      <c r="T12" s="47"/>
      <c r="U12" s="47"/>
    </row>
    <row r="13" spans="1:22" x14ac:dyDescent="0.35">
      <c r="A13" s="47" t="s">
        <v>107</v>
      </c>
      <c r="B13" s="57">
        <v>1275.7068782233657</v>
      </c>
      <c r="C13" s="57">
        <v>1177.0338438396709</v>
      </c>
      <c r="D13" s="57">
        <v>1114.8104974105895</v>
      </c>
      <c r="E13" s="57">
        <v>1105.2016508398485</v>
      </c>
      <c r="F13" s="57">
        <v>1132.0204974206586</v>
      </c>
      <c r="G13" s="57">
        <v>1203.9716386840844</v>
      </c>
      <c r="H13" s="57">
        <v>1333.9038889319233</v>
      </c>
      <c r="I13" s="57">
        <v>1438.4617806639342</v>
      </c>
      <c r="J13" s="57">
        <v>1482.7354736475738</v>
      </c>
      <c r="K13" s="60">
        <v>1390.2376244387624</v>
      </c>
      <c r="L13" s="57">
        <v>1481.1485737945429</v>
      </c>
      <c r="M13" s="57">
        <v>1350.4196890944938</v>
      </c>
      <c r="N13" s="57">
        <v>1343.3280432057211</v>
      </c>
      <c r="O13" s="57">
        <v>1065.8202089084323</v>
      </c>
      <c r="P13" s="57">
        <v>1079.6647563203458</v>
      </c>
      <c r="Q13" s="4">
        <v>1166.0805835105587</v>
      </c>
      <c r="R13" s="20">
        <f t="shared" si="1"/>
        <v>-0.13650504881748382</v>
      </c>
      <c r="S13" s="47"/>
      <c r="T13" s="47"/>
      <c r="U13" s="47"/>
    </row>
    <row r="14" spans="1:22" x14ac:dyDescent="0.35">
      <c r="A14" s="47" t="s">
        <v>109</v>
      </c>
      <c r="B14" s="57">
        <f>B24-SUM(B10:B13)</f>
        <v>10310.703728135224</v>
      </c>
      <c r="C14" s="57">
        <f t="shared" ref="C14:Q14" si="4">C24-SUM(C10:C13)</f>
        <v>10537.444066751657</v>
      </c>
      <c r="D14" s="57">
        <f t="shared" si="4"/>
        <v>10060.134822982107</v>
      </c>
      <c r="E14" s="57">
        <f t="shared" si="4"/>
        <v>10150.826195119054</v>
      </c>
      <c r="F14" s="57">
        <f t="shared" si="4"/>
        <v>10563.453269479314</v>
      </c>
      <c r="G14" s="57">
        <f t="shared" si="4"/>
        <v>10880.973396195935</v>
      </c>
      <c r="H14" s="57">
        <f t="shared" si="4"/>
        <v>11165.52039170227</v>
      </c>
      <c r="I14" s="57">
        <f t="shared" si="4"/>
        <v>11496.774393961918</v>
      </c>
      <c r="J14" s="57">
        <f t="shared" si="4"/>
        <v>11284.697592707857</v>
      </c>
      <c r="K14" s="57">
        <f t="shared" si="4"/>
        <v>11919.954528857928</v>
      </c>
      <c r="L14" s="57">
        <f t="shared" si="4"/>
        <v>12057.454964847548</v>
      </c>
      <c r="M14" s="57">
        <f t="shared" si="4"/>
        <v>12565.061293858698</v>
      </c>
      <c r="N14" s="57">
        <f t="shared" si="4"/>
        <v>12353.141650510768</v>
      </c>
      <c r="O14" s="57">
        <f t="shared" si="4"/>
        <v>10714.611143973747</v>
      </c>
      <c r="P14" s="57">
        <f t="shared" si="4"/>
        <v>11253.321344765056</v>
      </c>
      <c r="Q14" s="57">
        <f t="shared" si="4"/>
        <v>11457.518888150862</v>
      </c>
      <c r="R14" s="20">
        <f t="shared" si="1"/>
        <v>-8.8144608275739889E-2</v>
      </c>
      <c r="S14" s="47"/>
      <c r="T14" s="47"/>
      <c r="U14" s="47"/>
    </row>
    <row r="15" spans="1:22" x14ac:dyDescent="0.3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6"/>
      <c r="M15" s="53"/>
      <c r="N15" s="57"/>
      <c r="O15" s="57"/>
      <c r="P15" s="57"/>
      <c r="Q15" s="4"/>
      <c r="R15" s="47"/>
      <c r="S15" s="47"/>
      <c r="T15" s="47"/>
      <c r="U15" s="47"/>
    </row>
    <row r="16" spans="1:22" x14ac:dyDescent="0.35">
      <c r="A16" s="47" t="s">
        <v>10</v>
      </c>
      <c r="B16" s="47">
        <v>3270.5599031326169</v>
      </c>
      <c r="C16" s="47">
        <v>3155.505997044927</v>
      </c>
      <c r="D16" s="47">
        <v>3054.9926089004275</v>
      </c>
      <c r="E16" s="47">
        <v>3102.8747814613312</v>
      </c>
      <c r="F16" s="47">
        <v>3136.4251466541587</v>
      </c>
      <c r="G16" s="47">
        <v>3086.625562274472</v>
      </c>
      <c r="H16" s="47">
        <v>3178.6649788546606</v>
      </c>
      <c r="I16" s="47">
        <v>3118.7084146626271</v>
      </c>
      <c r="J16" s="47">
        <v>3136.2235434682325</v>
      </c>
      <c r="K16" s="46">
        <v>3264.957416269212</v>
      </c>
      <c r="L16" s="47">
        <v>3219.0194872366533</v>
      </c>
      <c r="M16" s="47">
        <f>3297264.54324487/1000</f>
        <v>3297.2645432448699</v>
      </c>
      <c r="N16" s="57">
        <v>3319.8576707956763</v>
      </c>
      <c r="O16" s="57">
        <v>2946.4628373851656</v>
      </c>
      <c r="P16" s="57">
        <v>3008.3788592311394</v>
      </c>
      <c r="Q16" s="4">
        <v>3063.1133266272277</v>
      </c>
      <c r="R16" s="20">
        <f t="shared" si="1"/>
        <v>-7.1013779315144521E-2</v>
      </c>
      <c r="S16" s="47"/>
      <c r="T16" s="47"/>
      <c r="U16" s="47"/>
    </row>
    <row r="17" spans="1:21" x14ac:dyDescent="0.35">
      <c r="A17" s="47" t="s">
        <v>110</v>
      </c>
      <c r="B17" s="47">
        <v>832.41114821297174</v>
      </c>
      <c r="C17" s="47">
        <v>779.5445468895764</v>
      </c>
      <c r="D17" s="47">
        <v>809.83020177482047</v>
      </c>
      <c r="E17" s="47">
        <v>822.14143715980265</v>
      </c>
      <c r="F17" s="47">
        <v>834.37339611820119</v>
      </c>
      <c r="G17" s="47">
        <v>897.04234077770082</v>
      </c>
      <c r="H17" s="47">
        <v>947.47097339621098</v>
      </c>
      <c r="I17" s="47">
        <v>922.20368990953864</v>
      </c>
      <c r="J17" s="47">
        <v>861.89669584162027</v>
      </c>
      <c r="K17" s="46">
        <v>953.89835850237705</v>
      </c>
      <c r="L17" s="47">
        <v>1014.1730258453376</v>
      </c>
      <c r="M17" s="47">
        <f>1021041.13481632/1000</f>
        <v>1021.04113481632</v>
      </c>
      <c r="N17" s="57">
        <v>994.50801655088071</v>
      </c>
      <c r="O17" s="57">
        <v>884.68298886135426</v>
      </c>
      <c r="P17" s="57">
        <v>877.86163605659601</v>
      </c>
      <c r="Q17" s="4">
        <v>942.80507338461348</v>
      </c>
      <c r="R17" s="20">
        <f t="shared" si="1"/>
        <v>-7.6623809525343756E-2</v>
      </c>
      <c r="S17" s="47"/>
      <c r="T17" s="47"/>
      <c r="U17" s="47"/>
    </row>
    <row r="18" spans="1:21" x14ac:dyDescent="0.35">
      <c r="A18" s="47" t="s">
        <v>111</v>
      </c>
      <c r="B18" s="47">
        <v>1812.5755750457784</v>
      </c>
      <c r="C18" s="47">
        <v>1853.7301126689679</v>
      </c>
      <c r="D18" s="47">
        <v>1824.5172875811224</v>
      </c>
      <c r="E18" s="47">
        <v>1814.4006962820449</v>
      </c>
      <c r="F18" s="47">
        <v>1859.5159590871117</v>
      </c>
      <c r="G18" s="47">
        <v>1966.6946404107157</v>
      </c>
      <c r="H18" s="47">
        <v>2011.528642027597</v>
      </c>
      <c r="I18" s="47">
        <v>2164.3444891992845</v>
      </c>
      <c r="J18" s="47">
        <v>2220.24198685176</v>
      </c>
      <c r="K18" s="46">
        <v>2395.2649432793974</v>
      </c>
      <c r="L18" s="47">
        <v>2399.4789853158227</v>
      </c>
      <c r="M18" s="47">
        <f>2601391.46521274/1000</f>
        <v>2601.3914652127401</v>
      </c>
      <c r="N18" s="57">
        <v>2517.2069092844772</v>
      </c>
      <c r="O18" s="57">
        <v>2234.2813373697818</v>
      </c>
      <c r="P18" s="57">
        <v>2434.4249477663102</v>
      </c>
      <c r="Q18" s="4">
        <v>2311.5158946942688</v>
      </c>
      <c r="R18" s="20">
        <f t="shared" si="1"/>
        <v>-0.11143096853927958</v>
      </c>
      <c r="S18" s="47"/>
      <c r="T18" s="47"/>
      <c r="U18" s="47"/>
    </row>
    <row r="19" spans="1:21" x14ac:dyDescent="0.35">
      <c r="A19" s="47" t="s">
        <v>112</v>
      </c>
      <c r="B19" s="47">
        <v>2785.2946473016709</v>
      </c>
      <c r="C19" s="47">
        <v>2835.5595232487726</v>
      </c>
      <c r="D19" s="47">
        <v>2866.0550430663156</v>
      </c>
      <c r="E19" s="47">
        <v>3008.3564654808224</v>
      </c>
      <c r="F19" s="47">
        <v>3224.271379554079</v>
      </c>
      <c r="G19" s="47">
        <v>3266.0614581521181</v>
      </c>
      <c r="H19" s="47">
        <v>3530.7014688324739</v>
      </c>
      <c r="I19" s="47">
        <v>3548.1470712517594</v>
      </c>
      <c r="J19" s="47">
        <v>3543.754104228346</v>
      </c>
      <c r="K19" s="46">
        <v>3560.1117684240694</v>
      </c>
      <c r="L19" s="47">
        <v>3692.3428876901812</v>
      </c>
      <c r="M19" s="47">
        <f>3830599.35916494/1000</f>
        <v>3830.5993591649403</v>
      </c>
      <c r="N19" s="57">
        <v>3758.894039746991</v>
      </c>
      <c r="O19" s="57">
        <v>3243.9755617828264</v>
      </c>
      <c r="P19" s="57">
        <v>3381.228371191632</v>
      </c>
      <c r="Q19" s="4">
        <v>3550.8521078596073</v>
      </c>
      <c r="R19" s="20">
        <f t="shared" si="1"/>
        <v>-7.3029629328376755E-2</v>
      </c>
      <c r="S19" s="47"/>
      <c r="T19" s="47"/>
      <c r="U19" s="47"/>
    </row>
    <row r="20" spans="1:21" x14ac:dyDescent="0.35">
      <c r="A20" s="47" t="s">
        <v>113</v>
      </c>
      <c r="B20" s="47">
        <v>1255.4274226529772</v>
      </c>
      <c r="C20" s="47">
        <v>1286.0156796612</v>
      </c>
      <c r="D20" s="47">
        <v>1251.4992590923621</v>
      </c>
      <c r="E20" s="47">
        <v>1216.1867060387499</v>
      </c>
      <c r="F20" s="47">
        <v>1255.3078863450246</v>
      </c>
      <c r="G20" s="47">
        <v>1215.4474209417056</v>
      </c>
      <c r="H20" s="47">
        <v>1290.2691171924578</v>
      </c>
      <c r="I20" s="47">
        <v>1291.7544127675872</v>
      </c>
      <c r="J20" s="47">
        <v>1296.096703367273</v>
      </c>
      <c r="K20" s="46">
        <v>1311.3572928793526</v>
      </c>
      <c r="L20" s="47">
        <v>1296.2703914746826</v>
      </c>
      <c r="M20" s="47">
        <f>1317400.45178259/1000</f>
        <v>1317.4004517825899</v>
      </c>
      <c r="N20" s="57">
        <v>1315.7276169352806</v>
      </c>
      <c r="O20" s="57">
        <v>1005.1591300473217</v>
      </c>
      <c r="P20" s="57">
        <v>1120.7013689986063</v>
      </c>
      <c r="Q20" s="4">
        <v>1196.7317787969305</v>
      </c>
      <c r="R20" s="20">
        <f t="shared" si="1"/>
        <v>-9.1596046458296887E-2</v>
      </c>
      <c r="S20" s="47"/>
      <c r="T20" s="47"/>
      <c r="U20" s="47"/>
    </row>
    <row r="21" spans="1:21" x14ac:dyDescent="0.35">
      <c r="A21" s="47" t="s">
        <v>109</v>
      </c>
      <c r="B21" s="47">
        <v>4.7478768653396433</v>
      </c>
      <c r="C21" s="47">
        <v>2.3469214757463943</v>
      </c>
      <c r="D21" s="47">
        <v>7.169384445366072</v>
      </c>
      <c r="E21" s="47">
        <v>2.9846389539402569</v>
      </c>
      <c r="F21" s="47">
        <v>4.3467861717602219</v>
      </c>
      <c r="G21" s="47">
        <v>4.1065279715013183</v>
      </c>
      <c r="H21" s="47">
        <v>2.6258783403059409</v>
      </c>
      <c r="I21" s="47">
        <v>3.7076830401678116</v>
      </c>
      <c r="J21" s="47">
        <v>4.195966257553347</v>
      </c>
      <c r="K21" s="46">
        <v>2.7004924187672437</v>
      </c>
      <c r="L21" s="47">
        <v>7.6347099049523042</v>
      </c>
      <c r="M21" s="47">
        <f>8820.59760722/1000</f>
        <v>8.8205976072199999</v>
      </c>
      <c r="N21" s="57"/>
      <c r="O21" s="57"/>
      <c r="P21" s="57">
        <v>11.973432174673009</v>
      </c>
      <c r="Q21" s="4">
        <v>8.9448953553862012</v>
      </c>
      <c r="R21" s="20">
        <f t="shared" si="1"/>
        <v>1.4091760411387488E-2</v>
      </c>
      <c r="S21" s="47"/>
      <c r="T21" s="47"/>
      <c r="U21" s="47"/>
    </row>
    <row r="22" spans="1:21" x14ac:dyDescent="0.35">
      <c r="A22" s="47" t="s">
        <v>13</v>
      </c>
      <c r="B22" s="47">
        <v>372.79711770723577</v>
      </c>
      <c r="C22" s="47">
        <v>349.51402898049651</v>
      </c>
      <c r="D22" s="47">
        <v>332.49313505760068</v>
      </c>
      <c r="E22" s="47">
        <v>301.71983086545583</v>
      </c>
      <c r="F22" s="47">
        <v>384.07371516333615</v>
      </c>
      <c r="G22" s="47">
        <v>403.32130636562459</v>
      </c>
      <c r="H22" s="47">
        <v>418.899669747161</v>
      </c>
      <c r="I22" s="47">
        <v>446.0317397261411</v>
      </c>
      <c r="J22" s="47">
        <v>447.19224968883941</v>
      </c>
      <c r="K22" s="46">
        <v>433.9338458897854</v>
      </c>
      <c r="L22" s="47">
        <v>435.15198689869004</v>
      </c>
      <c r="M22" s="47">
        <f>432326.74138113/1000</f>
        <v>432.32674138113003</v>
      </c>
      <c r="N22" s="57">
        <v>435.76045594805925</v>
      </c>
      <c r="O22" s="57">
        <v>373.20266029883209</v>
      </c>
      <c r="P22" s="57">
        <v>418.75272934609262</v>
      </c>
      <c r="Q22" s="4">
        <v>383.55581143279807</v>
      </c>
      <c r="R22" s="20">
        <f t="shared" si="1"/>
        <v>-0.11281034754529917</v>
      </c>
      <c r="S22" s="47"/>
      <c r="T22" s="47"/>
      <c r="U22" s="47"/>
    </row>
    <row r="23" spans="1:21" x14ac:dyDescent="0.35">
      <c r="A23" s="47"/>
      <c r="B23" s="47"/>
      <c r="C23" s="47"/>
      <c r="D23" s="47"/>
      <c r="E23" s="47"/>
      <c r="F23" s="47"/>
      <c r="G23" s="47"/>
      <c r="H23" s="47"/>
      <c r="I23" s="47"/>
      <c r="J23" s="47"/>
      <c r="M23" s="53"/>
      <c r="N23" s="57"/>
      <c r="O23" s="57"/>
      <c r="P23" s="57"/>
      <c r="Q23" s="47"/>
      <c r="R23" s="20"/>
      <c r="S23" s="47"/>
      <c r="T23" s="47"/>
      <c r="U23" s="47"/>
    </row>
    <row r="24" spans="1:21" s="52" customFormat="1" x14ac:dyDescent="0.35">
      <c r="A24" s="48" t="s">
        <v>76</v>
      </c>
      <c r="B24" s="48">
        <v>14584.495164284137</v>
      </c>
      <c r="C24" s="48">
        <v>14356.96046698648</v>
      </c>
      <c r="D24" s="48">
        <v>13808.716760304625</v>
      </c>
      <c r="E24" s="48">
        <v>13921.808207436383</v>
      </c>
      <c r="F24" s="48">
        <v>14330.015601664352</v>
      </c>
      <c r="G24" s="48">
        <v>14691.538346723291</v>
      </c>
      <c r="H24" s="48">
        <v>15094.243115021973</v>
      </c>
      <c r="I24" s="48">
        <v>15657.002770332387</v>
      </c>
      <c r="J24" s="48">
        <v>15545.447354530606</v>
      </c>
      <c r="K24" s="48">
        <v>16099.707765312933</v>
      </c>
      <c r="L24" s="48">
        <v>16287.803465880699</v>
      </c>
      <c r="M24" s="48">
        <f>16640794.3768867/1000</f>
        <v>16640.794376886701</v>
      </c>
      <c r="N24" s="57">
        <v>16382.555174366442</v>
      </c>
      <c r="O24" s="57">
        <v>14148.215449430543</v>
      </c>
      <c r="P24" s="57">
        <v>14690.869383906602</v>
      </c>
      <c r="Q24" s="61">
        <v>15023.551235276518</v>
      </c>
      <c r="R24" s="20">
        <f t="shared" si="1"/>
        <v>-9.7185453108924791E-2</v>
      </c>
      <c r="S24" s="48"/>
      <c r="T24" s="48"/>
      <c r="U24" s="48"/>
    </row>
    <row r="25" spans="1:21" x14ac:dyDescent="0.3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6"/>
      <c r="M25" s="53"/>
      <c r="N25" s="53"/>
      <c r="O25" s="53"/>
      <c r="Q25" s="47"/>
      <c r="R25" s="47"/>
      <c r="S25" s="47"/>
      <c r="T25" s="47"/>
      <c r="U25" s="47"/>
    </row>
    <row r="26" spans="1:21" x14ac:dyDescent="0.35">
      <c r="A26" s="62" t="s">
        <v>114</v>
      </c>
      <c r="B26" s="47">
        <f t="shared" ref="B26:L26" si="5">B24-B10-B22</f>
        <v>13405.136128989236</v>
      </c>
      <c r="C26" s="47">
        <f t="shared" si="5"/>
        <v>13360.356531566849</v>
      </c>
      <c r="D26" s="47">
        <f t="shared" si="5"/>
        <v>12827.262138198186</v>
      </c>
      <c r="E26" s="47">
        <f t="shared" si="5"/>
        <v>12949.551559919582</v>
      </c>
      <c r="F26" s="47">
        <f t="shared" si="5"/>
        <v>13228.040731946609</v>
      </c>
      <c r="G26" s="47">
        <f t="shared" si="5"/>
        <v>13574.721581196993</v>
      </c>
      <c r="H26" s="47">
        <f t="shared" si="5"/>
        <v>13933.449202386728</v>
      </c>
      <c r="I26" s="47">
        <f t="shared" si="5"/>
        <v>14350.651155714031</v>
      </c>
      <c r="J26" s="47">
        <f t="shared" si="5"/>
        <v>14178.861625486656</v>
      </c>
      <c r="K26" s="47">
        <f t="shared" si="5"/>
        <v>14816.278814932912</v>
      </c>
      <c r="L26" s="47">
        <f t="shared" si="5"/>
        <v>15003.348866719431</v>
      </c>
      <c r="M26" s="47">
        <f>M24-(M22+M10)</f>
        <v>15323.257358349001</v>
      </c>
      <c r="N26" s="47">
        <f t="shared" ref="N26:O26" si="6">N24-(N22+N10)</f>
        <v>15082.096633107874</v>
      </c>
      <c r="O26" s="47">
        <f t="shared" si="6"/>
        <v>12975.979608892971</v>
      </c>
      <c r="P26" s="47">
        <f>P24-(P22+P10)</f>
        <v>13464.234741262415</v>
      </c>
      <c r="Q26" s="47">
        <f>Q24-(Q22+Q10)</f>
        <v>13829.78682968051</v>
      </c>
      <c r="R26" s="20">
        <f>Q26/M26-1</f>
        <v>-9.7464298467503152E-2</v>
      </c>
      <c r="S26" s="47"/>
      <c r="T26" s="47"/>
      <c r="U26" s="47"/>
    </row>
    <row r="27" spans="1:21" x14ac:dyDescent="0.35">
      <c r="A27" s="47" t="s">
        <v>115</v>
      </c>
      <c r="B27" s="63">
        <f>SUM(B4:B7)</f>
        <v>4280</v>
      </c>
      <c r="C27" s="63">
        <f t="shared" ref="C27:L27" si="7">SUM(C4:C7)</f>
        <v>3830</v>
      </c>
      <c r="D27" s="63">
        <f t="shared" si="7"/>
        <v>3750</v>
      </c>
      <c r="E27" s="63">
        <f t="shared" si="7"/>
        <v>3780</v>
      </c>
      <c r="F27" s="63">
        <f t="shared" si="7"/>
        <v>3760</v>
      </c>
      <c r="G27" s="63">
        <f t="shared" si="7"/>
        <v>3810</v>
      </c>
      <c r="H27" s="63">
        <f t="shared" si="7"/>
        <v>3920</v>
      </c>
      <c r="I27" s="63">
        <f t="shared" si="7"/>
        <v>4160</v>
      </c>
      <c r="J27" s="63">
        <f t="shared" si="7"/>
        <v>4260</v>
      </c>
      <c r="K27" s="63">
        <f t="shared" si="7"/>
        <v>4180</v>
      </c>
      <c r="L27" s="63">
        <f t="shared" si="7"/>
        <v>4230</v>
      </c>
      <c r="M27" s="63">
        <f>SUM(M4:M7)</f>
        <v>4080</v>
      </c>
      <c r="N27" s="63">
        <f t="shared" ref="N27:O27" si="8">SUM(N4:N7)</f>
        <v>4030</v>
      </c>
      <c r="O27" s="63">
        <f t="shared" si="8"/>
        <v>3440</v>
      </c>
      <c r="P27" s="63">
        <f>SUM(P4:P7)</f>
        <v>3440</v>
      </c>
      <c r="Q27" s="63">
        <f>SUM(Q4:Q7)</f>
        <v>3570</v>
      </c>
      <c r="R27" s="20">
        <f>Q27/M27-1</f>
        <v>-0.125</v>
      </c>
      <c r="S27" s="9"/>
      <c r="T27" s="9"/>
      <c r="U27" s="9"/>
    </row>
    <row r="28" spans="1:21" x14ac:dyDescent="0.3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6"/>
      <c r="M28" s="47"/>
      <c r="N28" s="47"/>
      <c r="O28" s="47"/>
      <c r="P28" s="47"/>
      <c r="Q28" s="47"/>
      <c r="R28" s="47"/>
      <c r="S28" s="47"/>
      <c r="T28" s="47"/>
      <c r="U28" s="47"/>
    </row>
    <row r="29" spans="1:21" x14ac:dyDescent="0.3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x14ac:dyDescent="0.3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6"/>
    </row>
    <row r="31" spans="1:21" s="15" customFormat="1" x14ac:dyDescent="0.35">
      <c r="A31" s="46" t="s">
        <v>116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</row>
    <row r="32" spans="1:21" x14ac:dyDescent="0.3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P32" s="65"/>
      <c r="Q32" s="65"/>
      <c r="R32" s="65"/>
    </row>
    <row r="33" spans="2:13" x14ac:dyDescent="0.35">
      <c r="L33" s="9"/>
    </row>
    <row r="35" spans="2:13" x14ac:dyDescent="0.35">
      <c r="B35" s="66"/>
      <c r="C35" s="66"/>
      <c r="D35" s="66"/>
      <c r="E35" s="66"/>
      <c r="F35" s="66"/>
      <c r="G35" s="66"/>
      <c r="H35" s="66"/>
      <c r="I35" s="66"/>
      <c r="J35" s="66"/>
      <c r="K35" s="67"/>
      <c r="L35" s="67"/>
    </row>
    <row r="36" spans="2:13" x14ac:dyDescent="0.35">
      <c r="B36" s="66"/>
      <c r="C36" s="66"/>
      <c r="D36" s="66"/>
      <c r="E36" s="66"/>
      <c r="F36" s="66"/>
      <c r="G36" s="66"/>
      <c r="H36" s="66"/>
      <c r="I36" s="66"/>
      <c r="J36" s="66"/>
      <c r="K36" s="68"/>
      <c r="L36" s="47"/>
      <c r="M36" s="47"/>
    </row>
    <row r="37" spans="2:13" x14ac:dyDescent="0.35">
      <c r="B37" s="66"/>
      <c r="C37" s="66"/>
      <c r="D37" s="66"/>
      <c r="E37" s="66"/>
      <c r="F37" s="66"/>
      <c r="G37" s="66"/>
      <c r="H37" s="66"/>
      <c r="I37" s="66"/>
      <c r="J37" s="66"/>
      <c r="K37" s="68"/>
      <c r="L37" s="67"/>
      <c r="M37" s="69"/>
    </row>
    <row r="38" spans="2:13" x14ac:dyDescent="0.35">
      <c r="B38" s="66"/>
      <c r="C38" s="66"/>
      <c r="D38" s="66"/>
      <c r="E38" s="66"/>
      <c r="F38" s="66"/>
      <c r="G38" s="66"/>
      <c r="H38" s="66"/>
      <c r="I38" s="66"/>
      <c r="J38" s="66"/>
      <c r="K38" s="68"/>
    </row>
    <row r="39" spans="2:13" x14ac:dyDescent="0.35">
      <c r="B39" s="66"/>
      <c r="C39" s="66"/>
      <c r="D39" s="66"/>
      <c r="E39" s="66"/>
      <c r="F39" s="66"/>
      <c r="G39" s="66"/>
      <c r="H39" s="66"/>
      <c r="I39" s="66"/>
      <c r="J39" s="66"/>
      <c r="K39" s="67"/>
      <c r="L39" s="67"/>
    </row>
    <row r="40" spans="2:13" x14ac:dyDescent="0.35">
      <c r="B40" s="66"/>
      <c r="C40" s="66"/>
      <c r="D40" s="66"/>
      <c r="E40" s="66"/>
      <c r="F40" s="66"/>
      <c r="G40" s="66"/>
      <c r="H40" s="66"/>
      <c r="I40" s="66"/>
      <c r="J40" s="66"/>
      <c r="K40" s="68"/>
      <c r="L40" s="67"/>
    </row>
    <row r="41" spans="2:13" x14ac:dyDescent="0.35">
      <c r="B41" s="66"/>
      <c r="C41" s="66"/>
      <c r="D41" s="66"/>
      <c r="E41" s="66"/>
      <c r="F41" s="66"/>
      <c r="G41" s="66"/>
      <c r="H41" s="66"/>
      <c r="I41" s="66"/>
      <c r="J41" s="66"/>
      <c r="K41" s="68"/>
    </row>
    <row r="42" spans="2:13" x14ac:dyDescent="0.35">
      <c r="B42" s="66"/>
      <c r="C42" s="66"/>
      <c r="D42" s="66"/>
      <c r="E42" s="66"/>
      <c r="F42" s="66"/>
      <c r="G42" s="66"/>
      <c r="H42" s="66"/>
      <c r="I42" s="66"/>
      <c r="J42" s="66"/>
      <c r="K42" s="68"/>
    </row>
    <row r="43" spans="2:13" x14ac:dyDescent="0.35">
      <c r="B43" s="66"/>
      <c r="C43" s="66"/>
      <c r="D43" s="66"/>
      <c r="E43" s="66"/>
      <c r="F43" s="66"/>
      <c r="G43" s="66"/>
      <c r="H43" s="66"/>
      <c r="I43" s="66"/>
      <c r="J43" s="66"/>
      <c r="K43" s="68"/>
    </row>
    <row r="44" spans="2:13" x14ac:dyDescent="0.35">
      <c r="B44" s="66"/>
      <c r="C44" s="66"/>
      <c r="D44" s="66"/>
      <c r="E44" s="66"/>
      <c r="F44" s="66"/>
      <c r="G44" s="66"/>
      <c r="H44" s="66"/>
      <c r="I44" s="66"/>
      <c r="J44" s="66"/>
      <c r="K44" s="68"/>
    </row>
    <row r="45" spans="2:13" x14ac:dyDescent="0.35">
      <c r="B45" s="66"/>
      <c r="C45" s="66"/>
      <c r="D45" s="66"/>
      <c r="E45" s="66"/>
      <c r="F45" s="66"/>
      <c r="G45" s="66"/>
      <c r="H45" s="66"/>
      <c r="I45" s="66"/>
      <c r="J45" s="66"/>
      <c r="K45" s="68"/>
    </row>
    <row r="46" spans="2:13" x14ac:dyDescent="0.35">
      <c r="B46" s="66"/>
      <c r="C46" s="66"/>
      <c r="D46" s="66"/>
      <c r="E46" s="66"/>
      <c r="F46" s="66"/>
      <c r="G46" s="66"/>
      <c r="H46" s="66"/>
      <c r="I46" s="66"/>
      <c r="J46" s="66"/>
      <c r="K46" s="6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zoomScale="64" zoomScaleNormal="64" workbookViewId="0">
      <pane xSplit="1" ySplit="4" topLeftCell="AA5" activePane="bottomRight" state="frozen"/>
      <selection activeCell="A33" sqref="A33"/>
      <selection pane="topRight" activeCell="A33" sqref="A33"/>
      <selection pane="bottomLeft" activeCell="A33" sqref="A33"/>
      <selection pane="bottomRight"/>
    </sheetView>
  </sheetViews>
  <sheetFormatPr defaultColWidth="9.08984375" defaultRowHeight="14.5" x14ac:dyDescent="0.35"/>
  <cols>
    <col min="1" max="1" width="23.81640625" customWidth="1"/>
    <col min="4" max="4" width="13.7265625" bestFit="1" customWidth="1"/>
    <col min="39" max="39" width="9.453125" customWidth="1"/>
    <col min="43" max="49" width="9.54296875" bestFit="1" customWidth="1"/>
    <col min="50" max="50" width="9.54296875" customWidth="1"/>
  </cols>
  <sheetData>
    <row r="1" spans="1:54" ht="26" x14ac:dyDescent="0.6">
      <c r="A1" s="1" t="s">
        <v>166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</row>
    <row r="2" spans="1:54" x14ac:dyDescent="0.35">
      <c r="A2" s="47"/>
      <c r="B2" s="47" t="s">
        <v>165</v>
      </c>
      <c r="C2" s="47" t="s">
        <v>164</v>
      </c>
      <c r="D2" s="47" t="s">
        <v>163</v>
      </c>
      <c r="E2" s="47" t="s">
        <v>162</v>
      </c>
      <c r="F2" s="47" t="s">
        <v>161</v>
      </c>
      <c r="G2" s="47" t="s">
        <v>160</v>
      </c>
      <c r="H2" s="47" t="s">
        <v>159</v>
      </c>
      <c r="I2" s="47" t="s">
        <v>158</v>
      </c>
      <c r="J2" s="47" t="s">
        <v>157</v>
      </c>
      <c r="K2" s="47" t="s">
        <v>156</v>
      </c>
      <c r="L2" s="47" t="s">
        <v>155</v>
      </c>
      <c r="M2" s="47" t="s">
        <v>154</v>
      </c>
      <c r="N2" s="47" t="s">
        <v>153</v>
      </c>
      <c r="O2" s="47" t="s">
        <v>152</v>
      </c>
      <c r="P2" s="47" t="s">
        <v>151</v>
      </c>
      <c r="Q2" s="47" t="s">
        <v>150</v>
      </c>
      <c r="R2" s="47" t="s">
        <v>149</v>
      </c>
      <c r="S2" s="47" t="s">
        <v>148</v>
      </c>
      <c r="T2" s="47" t="s">
        <v>147</v>
      </c>
      <c r="U2" s="47" t="s">
        <v>146</v>
      </c>
      <c r="V2" s="47" t="s">
        <v>145</v>
      </c>
      <c r="W2" s="47" t="s">
        <v>144</v>
      </c>
      <c r="X2" s="47" t="s">
        <v>143</v>
      </c>
      <c r="Y2" s="47" t="s">
        <v>142</v>
      </c>
      <c r="Z2" s="47" t="s">
        <v>141</v>
      </c>
      <c r="AA2" s="47" t="s">
        <v>140</v>
      </c>
      <c r="AB2" s="47" t="s">
        <v>139</v>
      </c>
      <c r="AC2" s="47" t="s">
        <v>138</v>
      </c>
      <c r="AD2" s="47" t="s">
        <v>137</v>
      </c>
      <c r="AE2" s="47" t="s">
        <v>136</v>
      </c>
      <c r="AF2" s="47" t="s">
        <v>132</v>
      </c>
      <c r="AG2" s="47" t="s">
        <v>135</v>
      </c>
      <c r="AH2" s="47" t="s">
        <v>134</v>
      </c>
      <c r="AI2" s="47" t="s">
        <v>133</v>
      </c>
      <c r="AJ2" s="47" t="s">
        <v>132</v>
      </c>
      <c r="AK2" s="47" t="s">
        <v>131</v>
      </c>
      <c r="AL2" s="47" t="s">
        <v>134</v>
      </c>
      <c r="AM2" s="47" t="s">
        <v>133</v>
      </c>
      <c r="AN2" t="s">
        <v>132</v>
      </c>
      <c r="AO2" t="s">
        <v>131</v>
      </c>
      <c r="AP2" t="s">
        <v>130</v>
      </c>
      <c r="AQ2" t="s">
        <v>129</v>
      </c>
      <c r="AR2" t="s">
        <v>128</v>
      </c>
      <c r="AS2" t="s">
        <v>127</v>
      </c>
      <c r="AT2" t="s">
        <v>126</v>
      </c>
      <c r="AU2" t="s">
        <v>125</v>
      </c>
      <c r="AV2" t="s">
        <v>124</v>
      </c>
      <c r="AW2" t="s">
        <v>123</v>
      </c>
      <c r="AX2" t="s">
        <v>122</v>
      </c>
      <c r="AY2" t="s">
        <v>121</v>
      </c>
      <c r="AZ2" t="s">
        <v>120</v>
      </c>
      <c r="BA2" t="s">
        <v>119</v>
      </c>
    </row>
    <row r="3" spans="1:54" x14ac:dyDescent="0.3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</row>
    <row r="4" spans="1:54" x14ac:dyDescent="0.35">
      <c r="A4" s="47"/>
      <c r="B4" s="71">
        <v>2008</v>
      </c>
      <c r="C4" s="71"/>
      <c r="D4" s="71"/>
      <c r="E4" s="71"/>
      <c r="F4" s="71">
        <v>2009</v>
      </c>
      <c r="G4" s="71"/>
      <c r="H4" s="71"/>
      <c r="I4" s="71"/>
      <c r="J4" s="71">
        <v>2010</v>
      </c>
      <c r="K4" s="71"/>
      <c r="L4" s="71"/>
      <c r="M4" s="71"/>
      <c r="N4" s="71">
        <v>2011</v>
      </c>
      <c r="O4" s="71"/>
      <c r="P4" s="71"/>
      <c r="Q4" s="71"/>
      <c r="R4" s="71">
        <v>2012</v>
      </c>
      <c r="S4" s="71"/>
      <c r="T4" s="71"/>
      <c r="U4" s="71"/>
      <c r="V4" s="71">
        <v>2013</v>
      </c>
      <c r="W4" s="71"/>
      <c r="X4" s="71"/>
      <c r="Y4" s="71"/>
      <c r="Z4" s="71">
        <v>2014</v>
      </c>
      <c r="AA4" s="71"/>
      <c r="AB4" s="71"/>
      <c r="AC4" s="71"/>
      <c r="AD4" s="71">
        <v>2015</v>
      </c>
      <c r="AE4" s="71"/>
      <c r="AF4" s="71"/>
      <c r="AG4" s="71"/>
      <c r="AH4" s="71">
        <v>2016</v>
      </c>
      <c r="AI4" s="71"/>
      <c r="AJ4" s="47"/>
      <c r="AK4" s="47"/>
      <c r="AL4" s="71">
        <v>2017</v>
      </c>
      <c r="AM4" s="47"/>
      <c r="AN4" s="47"/>
      <c r="AP4">
        <v>2018</v>
      </c>
      <c r="AT4">
        <v>2019</v>
      </c>
      <c r="AX4">
        <v>2020</v>
      </c>
    </row>
    <row r="5" spans="1:54" x14ac:dyDescent="0.35">
      <c r="A5" s="47" t="s">
        <v>118</v>
      </c>
      <c r="B5" s="47">
        <v>100</v>
      </c>
      <c r="C5" s="47">
        <v>100</v>
      </c>
      <c r="D5" s="47">
        <v>100</v>
      </c>
      <c r="E5" s="47">
        <v>100</v>
      </c>
      <c r="F5" s="47">
        <v>100</v>
      </c>
      <c r="G5" s="47">
        <v>100</v>
      </c>
      <c r="H5" s="47">
        <v>100</v>
      </c>
      <c r="I5" s="47">
        <v>100</v>
      </c>
      <c r="J5" s="47">
        <v>100</v>
      </c>
      <c r="K5" s="47">
        <v>100</v>
      </c>
      <c r="L5" s="47">
        <v>100</v>
      </c>
      <c r="M5" s="47">
        <v>100</v>
      </c>
      <c r="N5" s="47">
        <v>100</v>
      </c>
      <c r="O5" s="47">
        <v>100</v>
      </c>
      <c r="P5" s="47">
        <v>100</v>
      </c>
      <c r="Q5" s="47">
        <v>100</v>
      </c>
      <c r="R5" s="47">
        <v>100</v>
      </c>
      <c r="S5" s="47">
        <v>100</v>
      </c>
      <c r="T5" s="47">
        <v>100</v>
      </c>
      <c r="U5" s="47">
        <v>100</v>
      </c>
      <c r="V5" s="47">
        <v>100</v>
      </c>
      <c r="W5" s="47">
        <v>100</v>
      </c>
      <c r="X5" s="47">
        <v>100</v>
      </c>
      <c r="Y5" s="47">
        <v>100</v>
      </c>
      <c r="Z5" s="47">
        <v>100</v>
      </c>
      <c r="AA5" s="47">
        <v>100</v>
      </c>
      <c r="AB5" s="47">
        <v>100</v>
      </c>
      <c r="AC5" s="47">
        <v>100</v>
      </c>
      <c r="AD5" s="47">
        <v>100</v>
      </c>
      <c r="AE5" s="47">
        <v>100</v>
      </c>
      <c r="AF5" s="47">
        <v>100</v>
      </c>
      <c r="AG5" s="47">
        <v>100</v>
      </c>
      <c r="AH5" s="47">
        <v>100</v>
      </c>
      <c r="AI5" s="47">
        <v>100</v>
      </c>
      <c r="AJ5" s="47">
        <v>100</v>
      </c>
      <c r="AK5" s="47">
        <v>100</v>
      </c>
      <c r="AL5" s="47">
        <v>100</v>
      </c>
      <c r="AM5" s="47">
        <v>100</v>
      </c>
      <c r="AN5" s="47">
        <v>100</v>
      </c>
      <c r="AO5" s="47">
        <v>100</v>
      </c>
      <c r="AP5" s="47">
        <v>100</v>
      </c>
      <c r="AQ5" s="47">
        <v>100</v>
      </c>
      <c r="AR5" s="47">
        <v>100</v>
      </c>
      <c r="AS5" s="47">
        <v>100</v>
      </c>
      <c r="AT5" s="47">
        <v>100</v>
      </c>
      <c r="AU5" s="47">
        <v>100</v>
      </c>
      <c r="AV5" s="47">
        <v>100</v>
      </c>
      <c r="AW5" s="47">
        <v>100</v>
      </c>
      <c r="AX5" s="47">
        <v>100</v>
      </c>
      <c r="AY5" s="47">
        <v>100</v>
      </c>
      <c r="AZ5" s="47">
        <v>100</v>
      </c>
      <c r="BA5" s="47">
        <v>100</v>
      </c>
    </row>
    <row r="6" spans="1:54" x14ac:dyDescent="0.35">
      <c r="A6" s="47" t="s">
        <v>105</v>
      </c>
      <c r="B6" s="47">
        <f t="shared" ref="B6:AG6" si="0">B9/$B9*100</f>
        <v>100</v>
      </c>
      <c r="C6" s="47">
        <f t="shared" si="0"/>
        <v>99.416815108848652</v>
      </c>
      <c r="D6" s="47">
        <f t="shared" si="0"/>
        <v>97.350246847756537</v>
      </c>
      <c r="E6" s="47">
        <f t="shared" si="0"/>
        <v>99.330945876920779</v>
      </c>
      <c r="F6" s="47">
        <f t="shared" si="0"/>
        <v>96.2185343855908</v>
      </c>
      <c r="G6" s="47">
        <f t="shared" si="0"/>
        <v>96.232680515496199</v>
      </c>
      <c r="H6" s="47">
        <f t="shared" si="0"/>
        <v>88.353741857368234</v>
      </c>
      <c r="I6" s="47">
        <f t="shared" si="0"/>
        <v>89.340634413858382</v>
      </c>
      <c r="J6" s="47">
        <f t="shared" si="0"/>
        <v>87.449184837843433</v>
      </c>
      <c r="K6" s="47">
        <f t="shared" si="0"/>
        <v>85.561578809686523</v>
      </c>
      <c r="L6" s="47">
        <f t="shared" si="0"/>
        <v>85.949646539455145</v>
      </c>
      <c r="M6" s="47">
        <f t="shared" si="0"/>
        <v>89.451281491554468</v>
      </c>
      <c r="N6" s="47">
        <f t="shared" si="0"/>
        <v>90.266583579055677</v>
      </c>
      <c r="O6" s="47">
        <f t="shared" si="0"/>
        <v>86.78327389149419</v>
      </c>
      <c r="P6" s="47">
        <f t="shared" si="0"/>
        <v>86.978848883819651</v>
      </c>
      <c r="Q6" s="47">
        <f t="shared" si="0"/>
        <v>90.435989131074436</v>
      </c>
      <c r="R6" s="47">
        <f t="shared" si="0"/>
        <v>87.038078201555123</v>
      </c>
      <c r="S6" s="47">
        <f t="shared" si="0"/>
        <v>84.369510125257108</v>
      </c>
      <c r="T6" s="47">
        <f t="shared" si="0"/>
        <v>86.807381316404928</v>
      </c>
      <c r="U6" s="47">
        <f t="shared" si="0"/>
        <v>85.941372172286847</v>
      </c>
      <c r="V6" s="47">
        <f t="shared" si="0"/>
        <v>87.917187617573433</v>
      </c>
      <c r="W6" s="47">
        <f t="shared" si="0"/>
        <v>87.047456711501241</v>
      </c>
      <c r="X6" s="47">
        <f t="shared" si="0"/>
        <v>84.224105122238726</v>
      </c>
      <c r="Y6" s="47">
        <f t="shared" si="0"/>
        <v>83.661493886692256</v>
      </c>
      <c r="Z6" s="47">
        <f t="shared" si="0"/>
        <v>85.453145914671609</v>
      </c>
      <c r="AA6" s="47">
        <f t="shared" si="0"/>
        <v>82.633087453494696</v>
      </c>
      <c r="AB6" s="47">
        <f t="shared" si="0"/>
        <v>82.43761318187552</v>
      </c>
      <c r="AC6" s="47">
        <f t="shared" si="0"/>
        <v>82.859318444856072</v>
      </c>
      <c r="AD6" s="47">
        <f t="shared" si="0"/>
        <v>84.241728153874433</v>
      </c>
      <c r="AE6" s="47">
        <f t="shared" si="0"/>
        <v>83.17301641925809</v>
      </c>
      <c r="AF6" s="47">
        <f t="shared" si="0"/>
        <v>84.037614692946661</v>
      </c>
      <c r="AG6" s="47">
        <f t="shared" si="0"/>
        <v>82.325790419829019</v>
      </c>
      <c r="AH6" s="47">
        <f t="shared" ref="AH6:BA6" si="1">AH9/$B9*100</f>
        <v>77.89904614213404</v>
      </c>
      <c r="AI6" s="47">
        <f t="shared" si="1"/>
        <v>81.06420748790822</v>
      </c>
      <c r="AJ6" s="47">
        <f t="shared" si="1"/>
        <v>79.721997543334012</v>
      </c>
      <c r="AK6" s="47">
        <f t="shared" si="1"/>
        <v>81.815294299576252</v>
      </c>
      <c r="AL6" s="47">
        <f t="shared" si="1"/>
        <v>84.77134258550295</v>
      </c>
      <c r="AM6" s="47">
        <f t="shared" si="1"/>
        <v>85.22514883289027</v>
      </c>
      <c r="AN6" s="47">
        <f t="shared" si="1"/>
        <v>82.840993010741542</v>
      </c>
      <c r="AO6" s="47">
        <f t="shared" si="1"/>
        <v>84.811385238996365</v>
      </c>
      <c r="AP6" s="47">
        <f t="shared" si="1"/>
        <v>87.577199886306516</v>
      </c>
      <c r="AQ6" s="47">
        <f t="shared" si="1"/>
        <v>82.606470401255166</v>
      </c>
      <c r="AR6" s="47">
        <f t="shared" si="1"/>
        <v>81.399108296164371</v>
      </c>
      <c r="AS6" s="47">
        <f t="shared" si="1"/>
        <v>83.654271705079822</v>
      </c>
      <c r="AT6" s="47">
        <f t="shared" si="1"/>
        <v>84.312355198127747</v>
      </c>
      <c r="AU6" s="47">
        <f t="shared" si="1"/>
        <v>84.752922859375502</v>
      </c>
      <c r="AV6" s="67">
        <f t="shared" si="1"/>
        <v>83.355667649783555</v>
      </c>
      <c r="AW6" s="67">
        <f t="shared" si="1"/>
        <v>81.484922853490474</v>
      </c>
      <c r="AX6" s="67">
        <f t="shared" si="1"/>
        <v>80.795764240113527</v>
      </c>
      <c r="AY6" s="67">
        <f t="shared" si="1"/>
        <v>68.953950549984228</v>
      </c>
      <c r="AZ6" s="67">
        <f t="shared" si="1"/>
        <v>69.132443726935051</v>
      </c>
      <c r="BA6" s="67">
        <f t="shared" si="1"/>
        <v>70.602532830284545</v>
      </c>
      <c r="BB6" s="9">
        <f>BA6/AY6-1</f>
        <v>2.3908452918955936E-2</v>
      </c>
    </row>
    <row r="7" spans="1:54" x14ac:dyDescent="0.35">
      <c r="A7" s="62" t="s">
        <v>117</v>
      </c>
      <c r="B7" s="47">
        <f t="shared" ref="B7:AG7" si="2">B10/$B10*100</f>
        <v>100</v>
      </c>
      <c r="C7" s="47">
        <f t="shared" si="2"/>
        <v>101.29045841176602</v>
      </c>
      <c r="D7" s="47">
        <f t="shared" si="2"/>
        <v>101.35248623208383</v>
      </c>
      <c r="E7" s="47">
        <f t="shared" si="2"/>
        <v>102.79954680739314</v>
      </c>
      <c r="F7" s="47">
        <f t="shared" si="2"/>
        <v>102.08981354763935</v>
      </c>
      <c r="G7" s="47">
        <f t="shared" si="2"/>
        <v>99.989936415360958</v>
      </c>
      <c r="H7" s="47">
        <f t="shared" si="2"/>
        <v>97.062774634476995</v>
      </c>
      <c r="I7" s="47">
        <f t="shared" si="2"/>
        <v>98.055786597880527</v>
      </c>
      <c r="J7" s="47">
        <f t="shared" si="2"/>
        <v>96.953685508968192</v>
      </c>
      <c r="K7" s="47">
        <f t="shared" si="2"/>
        <v>97.370001165657712</v>
      </c>
      <c r="L7" s="47">
        <f t="shared" si="2"/>
        <v>95.997939798541495</v>
      </c>
      <c r="M7" s="47">
        <f t="shared" si="2"/>
        <v>97.429314561209921</v>
      </c>
      <c r="N7" s="47">
        <f t="shared" si="2"/>
        <v>97.333815860156122</v>
      </c>
      <c r="O7" s="47">
        <f t="shared" si="2"/>
        <v>98.078216981383235</v>
      </c>
      <c r="P7" s="47">
        <f t="shared" si="2"/>
        <v>99.639476202806577</v>
      </c>
      <c r="Q7" s="47">
        <f t="shared" si="2"/>
        <v>100.81612132438585</v>
      </c>
      <c r="R7" s="47">
        <f t="shared" si="2"/>
        <v>100.9735199927176</v>
      </c>
      <c r="S7" s="47">
        <f t="shared" si="2"/>
        <v>101.80329218931115</v>
      </c>
      <c r="T7" s="47">
        <f t="shared" si="2"/>
        <v>103.26461176692013</v>
      </c>
      <c r="U7" s="47">
        <f t="shared" si="2"/>
        <v>103.10657335297077</v>
      </c>
      <c r="V7" s="47">
        <f t="shared" si="2"/>
        <v>103.04823632702815</v>
      </c>
      <c r="W7" s="47">
        <f t="shared" si="2"/>
        <v>104.27751224370314</v>
      </c>
      <c r="X7" s="47">
        <f t="shared" si="2"/>
        <v>107.55432398604306</v>
      </c>
      <c r="Y7" s="47">
        <f t="shared" si="2"/>
        <v>108.7938547693162</v>
      </c>
      <c r="Z7" s="47">
        <f t="shared" si="2"/>
        <v>107.49753074048454</v>
      </c>
      <c r="AA7" s="47">
        <f t="shared" si="2"/>
        <v>108.30061470991473</v>
      </c>
      <c r="AB7" s="47">
        <f t="shared" si="2"/>
        <v>108.51521509221004</v>
      </c>
      <c r="AC7" s="47">
        <f t="shared" si="2"/>
        <v>110.09019488257019</v>
      </c>
      <c r="AD7" s="47">
        <f t="shared" si="2"/>
        <v>110.98763023895444</v>
      </c>
      <c r="AE7" s="47">
        <f t="shared" si="2"/>
        <v>112.77360212222796</v>
      </c>
      <c r="AF7" s="47">
        <f t="shared" si="2"/>
        <v>114.0163146529942</v>
      </c>
      <c r="AG7" s="47">
        <f t="shared" si="2"/>
        <v>115.84791208937834</v>
      </c>
      <c r="AH7" s="47">
        <f t="shared" ref="AH7:BA7" si="3">AH10/$B10*100</f>
        <v>113.81899635296018</v>
      </c>
      <c r="AI7" s="47">
        <f t="shared" si="3"/>
        <v>112.22979438293666</v>
      </c>
      <c r="AJ7" s="47">
        <f t="shared" si="3"/>
        <v>114.79408497046846</v>
      </c>
      <c r="AK7" s="47">
        <f t="shared" si="3"/>
        <v>116.34539525200569</v>
      </c>
      <c r="AL7" s="47">
        <f t="shared" si="3"/>
        <v>117.00436297854178</v>
      </c>
      <c r="AM7" s="47">
        <f t="shared" si="3"/>
        <v>116.01361553174337</v>
      </c>
      <c r="AN7" s="47">
        <f t="shared" si="3"/>
        <v>117.1680347357039</v>
      </c>
      <c r="AO7" s="47">
        <f t="shared" si="3"/>
        <v>116.66306410295245</v>
      </c>
      <c r="AP7" s="47">
        <f t="shared" si="3"/>
        <v>117.86457330252131</v>
      </c>
      <c r="AQ7" s="47">
        <f t="shared" si="3"/>
        <v>117.98810159677228</v>
      </c>
      <c r="AR7" s="47">
        <f t="shared" si="3"/>
        <v>118.94345722391586</v>
      </c>
      <c r="AS7" s="47">
        <f t="shared" si="3"/>
        <v>119.76292947575151</v>
      </c>
      <c r="AT7" s="47">
        <f t="shared" si="3"/>
        <v>117.72538538707438</v>
      </c>
      <c r="AU7" s="47">
        <f t="shared" si="3"/>
        <v>117.82247705533555</v>
      </c>
      <c r="AV7" s="47">
        <f t="shared" si="3"/>
        <v>118.56724133985051</v>
      </c>
      <c r="AW7" s="47">
        <f t="shared" si="3"/>
        <v>119.25484243171496</v>
      </c>
      <c r="AX7" s="47">
        <f t="shared" si="3"/>
        <v>119.06693000797375</v>
      </c>
      <c r="AY7" s="47">
        <f t="shared" si="3"/>
        <v>102.96882345922246</v>
      </c>
      <c r="AZ7" s="47">
        <f t="shared" si="3"/>
        <v>107.34060786972086</v>
      </c>
      <c r="BA7" s="47">
        <f t="shared" si="3"/>
        <v>109.78773655447563</v>
      </c>
      <c r="BB7" s="9">
        <f>BA7/AY7-1</f>
        <v>6.6223084484922534E-2</v>
      </c>
    </row>
    <row r="8" spans="1:54" x14ac:dyDescent="0.35">
      <c r="A8" s="47"/>
      <c r="B8" s="71"/>
      <c r="C8" s="71"/>
      <c r="D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47"/>
      <c r="AK8" s="47"/>
      <c r="AL8" s="47"/>
      <c r="AM8" s="47"/>
    </row>
    <row r="9" spans="1:54" x14ac:dyDescent="0.35">
      <c r="A9" s="47" t="s">
        <v>105</v>
      </c>
      <c r="B9" s="47">
        <v>2111.2997571693186</v>
      </c>
      <c r="C9" s="47">
        <v>2098.986975978592</v>
      </c>
      <c r="D9" s="47">
        <v>2055.355525300416</v>
      </c>
      <c r="E9" s="47">
        <v>2097.1740190934156</v>
      </c>
      <c r="F9" s="47">
        <v>2031.461682834856</v>
      </c>
      <c r="G9" s="47">
        <v>2031.7603500411974</v>
      </c>
      <c r="H9" s="47">
        <v>1865.412337284622</v>
      </c>
      <c r="I9" s="47">
        <v>1886.2485974333208</v>
      </c>
      <c r="J9" s="47">
        <v>1846.3144271279368</v>
      </c>
      <c r="K9" s="47">
        <v>1806.4614056391467</v>
      </c>
      <c r="L9" s="47">
        <v>1814.6546786754043</v>
      </c>
      <c r="M9" s="47">
        <v>1888.5846889160332</v>
      </c>
      <c r="N9" s="47">
        <v>1905.7981599096424</v>
      </c>
      <c r="O9" s="47">
        <v>1832.2550509347013</v>
      </c>
      <c r="P9" s="47">
        <v>1836.3842252727527</v>
      </c>
      <c r="Q9" s="47">
        <v>1909.3748189180458</v>
      </c>
      <c r="R9" s="47">
        <v>1837.6347337142749</v>
      </c>
      <c r="S9" s="47">
        <v>1781.2932623994971</v>
      </c>
      <c r="T9" s="47">
        <v>1832.7640309383016</v>
      </c>
      <c r="U9" s="47">
        <v>1814.4799819814725</v>
      </c>
      <c r="V9" s="47">
        <v>1856.195368679922</v>
      </c>
      <c r="W9" s="47">
        <v>1837.8327421719932</v>
      </c>
      <c r="X9" s="47">
        <v>1778.2233269238577</v>
      </c>
      <c r="Y9" s="47">
        <v>1766.3449172739579</v>
      </c>
      <c r="Z9" s="47">
        <v>1804.1720621900051</v>
      </c>
      <c r="AA9" s="47">
        <v>1744.6321747471441</v>
      </c>
      <c r="AB9" s="47">
        <v>1740.5051269251198</v>
      </c>
      <c r="AC9" s="47">
        <v>1749.4085891183986</v>
      </c>
      <c r="AD9" s="47">
        <v>1778.5954019479886</v>
      </c>
      <c r="AE9" s="47">
        <v>1756.0316936901934</v>
      </c>
      <c r="AF9" s="47">
        <v>1774.2859549430705</v>
      </c>
      <c r="AG9" s="47">
        <v>1738.144213221572</v>
      </c>
      <c r="AH9" s="47">
        <v>1644.6823720360915</v>
      </c>
      <c r="AI9" s="47">
        <v>1711.508415843439</v>
      </c>
      <c r="AJ9" s="47">
        <v>1683.1703405429412</v>
      </c>
      <c r="AK9" s="47">
        <v>1727.3661098743169</v>
      </c>
      <c r="AL9" s="47">
        <v>1789.777150156895</v>
      </c>
      <c r="AM9" s="47">
        <v>1799.3583603560028</v>
      </c>
      <c r="AN9" s="47">
        <v>1749.0216842724385</v>
      </c>
      <c r="AO9" s="47">
        <v>1790.6225706028654</v>
      </c>
      <c r="AP9" s="47">
        <v>1849.0172085352781</v>
      </c>
      <c r="AQ9" s="47">
        <v>1744.0702089878453</v>
      </c>
      <c r="AR9" s="47">
        <v>1718.5791757949089</v>
      </c>
      <c r="AS9" s="47">
        <v>1766.1924353711122</v>
      </c>
      <c r="AT9" s="47">
        <v>1780.0865505618044</v>
      </c>
      <c r="AU9" s="47">
        <v>1789.3882545238948</v>
      </c>
      <c r="AV9" s="47">
        <v>1759.8880086767444</v>
      </c>
      <c r="AW9" s="47">
        <v>1720.3909783353508</v>
      </c>
      <c r="AX9" s="59">
        <v>1705.8407742046122</v>
      </c>
      <c r="AY9" s="59">
        <v>1455.824590520469</v>
      </c>
      <c r="AZ9" s="59">
        <v>1459.5931165319957</v>
      </c>
      <c r="BA9" s="59">
        <v>1490.6311042011862</v>
      </c>
    </row>
    <row r="10" spans="1:54" x14ac:dyDescent="0.35">
      <c r="A10" s="62" t="s">
        <v>117</v>
      </c>
      <c r="B10" s="47">
        <f t="shared" ref="B10:AG10" si="4">B11-B9</f>
        <v>12326.440598727917</v>
      </c>
      <c r="C10" s="47">
        <f t="shared" si="4"/>
        <v>12485.508188305545</v>
      </c>
      <c r="D10" s="47">
        <f t="shared" si="4"/>
        <v>12493.154010731705</v>
      </c>
      <c r="E10" s="47">
        <f t="shared" si="4"/>
        <v>12671.525072974817</v>
      </c>
      <c r="F10" s="47">
        <f t="shared" si="4"/>
        <v>12584.040224301851</v>
      </c>
      <c r="G10" s="47">
        <f t="shared" si="4"/>
        <v>12325.200116945283</v>
      </c>
      <c r="H10" s="47">
        <f t="shared" si="4"/>
        <v>11964.385258795955</v>
      </c>
      <c r="I10" s="47">
        <f t="shared" si="4"/>
        <v>12086.788288603153</v>
      </c>
      <c r="J10" s="47">
        <f t="shared" si="4"/>
        <v>11950.93845254044</v>
      </c>
      <c r="K10" s="47">
        <f t="shared" si="4"/>
        <v>12002.255354665478</v>
      </c>
      <c r="L10" s="47">
        <f t="shared" si="4"/>
        <v>11833.129025269804</v>
      </c>
      <c r="M10" s="47">
        <f t="shared" si="4"/>
        <v>12009.56658513531</v>
      </c>
      <c r="N10" s="47">
        <f t="shared" si="4"/>
        <v>11997.794994477357</v>
      </c>
      <c r="O10" s="47">
        <f t="shared" si="4"/>
        <v>12089.553156501681</v>
      </c>
      <c r="P10" s="47">
        <f t="shared" si="4"/>
        <v>12282.000847022591</v>
      </c>
      <c r="Q10" s="47">
        <f t="shared" si="4"/>
        <v>12427.039308991889</v>
      </c>
      <c r="R10" s="47">
        <f t="shared" si="4"/>
        <v>12446.440962346993</v>
      </c>
      <c r="S10" s="47">
        <f t="shared" si="4"/>
        <v>12548.722339264856</v>
      </c>
      <c r="T10" s="47">
        <f t="shared" si="4"/>
        <v>12728.851028956407</v>
      </c>
      <c r="U10" s="47">
        <f t="shared" si="4"/>
        <v>12709.370517737769</v>
      </c>
      <c r="V10" s="47">
        <f t="shared" si="4"/>
        <v>12702.179638887888</v>
      </c>
      <c r="W10" s="47">
        <f t="shared" si="4"/>
        <v>12853.705604551298</v>
      </c>
      <c r="X10" s="47">
        <f t="shared" si="4"/>
        <v>13257.61985750297</v>
      </c>
      <c r="Y10" s="47">
        <f t="shared" si="4"/>
        <v>13410.409883206079</v>
      </c>
      <c r="Z10" s="47">
        <f t="shared" si="4"/>
        <v>13250.619271825108</v>
      </c>
      <c r="AA10" s="47">
        <f t="shared" si="4"/>
        <v>13349.610940274828</v>
      </c>
      <c r="AB10" s="47">
        <f t="shared" si="4"/>
        <v>13376.063528923103</v>
      </c>
      <c r="AC10" s="47">
        <f t="shared" si="4"/>
        <v>13570.202477223815</v>
      </c>
      <c r="AD10" s="47">
        <f t="shared" si="4"/>
        <v>13680.824313340503</v>
      </c>
      <c r="AE10" s="47">
        <f t="shared" si="4"/>
        <v>13900.971076642194</v>
      </c>
      <c r="AF10" s="47">
        <f t="shared" si="4"/>
        <v>14054.153298560044</v>
      </c>
      <c r="AG10" s="47">
        <f t="shared" si="4"/>
        <v>14279.924068563758</v>
      </c>
      <c r="AH10" s="47">
        <f t="shared" ref="AH10:BA10" si="5">AH11-AH9</f>
        <v>14029.83097551593</v>
      </c>
      <c r="AI10" s="47">
        <f t="shared" si="5"/>
        <v>13833.938938687168</v>
      </c>
      <c r="AJ10" s="47">
        <f t="shared" si="5"/>
        <v>14150.024694738046</v>
      </c>
      <c r="AK10" s="47">
        <f t="shared" si="5"/>
        <v>14341.246035093693</v>
      </c>
      <c r="AL10" s="47">
        <f t="shared" si="5"/>
        <v>14422.47330046995</v>
      </c>
      <c r="AM10" s="47">
        <f t="shared" si="5"/>
        <v>14300.349404956931</v>
      </c>
      <c r="AN10" s="47">
        <f t="shared" si="5"/>
        <v>14442.648202393433</v>
      </c>
      <c r="AO10" s="47">
        <f t="shared" si="5"/>
        <v>14380.403297306304</v>
      </c>
      <c r="AP10" s="47">
        <f t="shared" si="5"/>
        <v>14528.506615079412</v>
      </c>
      <c r="AQ10" s="47">
        <f t="shared" si="5"/>
        <v>14543.733256892881</v>
      </c>
      <c r="AR10" s="47">
        <f t="shared" si="5"/>
        <v>14661.494600779337</v>
      </c>
      <c r="AS10" s="47">
        <f t="shared" si="5"/>
        <v>14762.506361124919</v>
      </c>
      <c r="AT10" s="47">
        <f t="shared" si="5"/>
        <v>14511.349699361239</v>
      </c>
      <c r="AU10" s="47">
        <f t="shared" si="5"/>
        <v>14523.317646175765</v>
      </c>
      <c r="AV10" s="47">
        <f t="shared" si="5"/>
        <v>14615.120573307044</v>
      </c>
      <c r="AW10" s="47">
        <f t="shared" si="5"/>
        <v>14699.87731345192</v>
      </c>
      <c r="AX10" s="47">
        <f t="shared" si="5"/>
        <v>14676.714400161829</v>
      </c>
      <c r="AY10" s="47">
        <f t="shared" si="5"/>
        <v>12692.390858910074</v>
      </c>
      <c r="AZ10" s="47">
        <f t="shared" si="5"/>
        <v>13231.276267374606</v>
      </c>
      <c r="BA10" s="47">
        <f t="shared" si="5"/>
        <v>13532.920131075332</v>
      </c>
    </row>
    <row r="11" spans="1:54" x14ac:dyDescent="0.35">
      <c r="A11" s="47" t="s">
        <v>76</v>
      </c>
      <c r="B11" s="47">
        <v>14437.740355897236</v>
      </c>
      <c r="C11" s="47">
        <v>14584.495164284137</v>
      </c>
      <c r="D11" s="47">
        <v>14548.509536032121</v>
      </c>
      <c r="E11" s="47">
        <v>14768.699092068233</v>
      </c>
      <c r="F11" s="47">
        <v>14615.501907136706</v>
      </c>
      <c r="G11" s="47">
        <v>14356.96046698648</v>
      </c>
      <c r="H11" s="47">
        <v>13829.797596080578</v>
      </c>
      <c r="I11" s="47">
        <v>13973.036886036474</v>
      </c>
      <c r="J11" s="47">
        <v>13797.252879668376</v>
      </c>
      <c r="K11" s="47">
        <v>13808.716760304625</v>
      </c>
      <c r="L11" s="47">
        <v>13647.783703945208</v>
      </c>
      <c r="M11" s="47">
        <v>13898.151274051343</v>
      </c>
      <c r="N11" s="47">
        <v>13903.593154386999</v>
      </c>
      <c r="O11" s="47">
        <v>13921.808207436383</v>
      </c>
      <c r="P11" s="47">
        <v>14118.385072295345</v>
      </c>
      <c r="Q11" s="47">
        <v>14336.414127909935</v>
      </c>
      <c r="R11" s="47">
        <v>14284.075696061267</v>
      </c>
      <c r="S11" s="47">
        <v>14330.015601664352</v>
      </c>
      <c r="T11" s="47">
        <v>14561.61505989471</v>
      </c>
      <c r="U11" s="47">
        <v>14523.850499719241</v>
      </c>
      <c r="V11" s="47">
        <v>14558.375007567811</v>
      </c>
      <c r="W11" s="47">
        <v>14691.538346723291</v>
      </c>
      <c r="X11" s="47">
        <v>15035.843184426829</v>
      </c>
      <c r="Y11" s="47">
        <v>15176.754800480037</v>
      </c>
      <c r="Z11" s="47">
        <v>15054.791334015114</v>
      </c>
      <c r="AA11" s="47">
        <v>15094.243115021973</v>
      </c>
      <c r="AB11" s="47">
        <v>15116.568655848223</v>
      </c>
      <c r="AC11" s="47">
        <v>15319.611066342213</v>
      </c>
      <c r="AD11" s="47">
        <v>15459.419715288492</v>
      </c>
      <c r="AE11" s="47">
        <v>15657.002770332387</v>
      </c>
      <c r="AF11" s="47">
        <v>15828.439253503115</v>
      </c>
      <c r="AG11" s="47">
        <v>16018.06828178533</v>
      </c>
      <c r="AH11" s="47">
        <v>15674.513347552022</v>
      </c>
      <c r="AI11" s="47">
        <v>15545.447354530606</v>
      </c>
      <c r="AJ11" s="47">
        <v>15833.195035280987</v>
      </c>
      <c r="AK11" s="47">
        <v>16068.61214496801</v>
      </c>
      <c r="AL11" s="47">
        <v>16212.250450626845</v>
      </c>
      <c r="AM11" s="47">
        <v>16099.707765312933</v>
      </c>
      <c r="AN11" s="47">
        <v>16191.669886665872</v>
      </c>
      <c r="AO11" s="47">
        <v>16171.025867909169</v>
      </c>
      <c r="AP11" s="47">
        <v>16377.523823614691</v>
      </c>
      <c r="AQ11" s="47">
        <v>16287.803465880726</v>
      </c>
      <c r="AR11" s="47">
        <v>16380.073776574245</v>
      </c>
      <c r="AS11" s="47">
        <v>16528.698796496032</v>
      </c>
      <c r="AT11" s="47">
        <v>16291.436249923043</v>
      </c>
      <c r="AU11" s="47">
        <v>16312.705900699659</v>
      </c>
      <c r="AV11" s="47">
        <v>16375.008581983788</v>
      </c>
      <c r="AW11" s="47">
        <v>16420.26829178727</v>
      </c>
      <c r="AX11" s="59">
        <v>16382.555174366442</v>
      </c>
      <c r="AY11" s="59">
        <v>14148.215449430543</v>
      </c>
      <c r="AZ11" s="59">
        <v>14690.869383906602</v>
      </c>
      <c r="BA11" s="59">
        <v>15023.551235276518</v>
      </c>
    </row>
    <row r="12" spans="1:54" x14ac:dyDescent="0.35">
      <c r="A12" s="47"/>
      <c r="B12" s="9">
        <f t="shared" ref="B12:AG12" si="6">B9/B11</f>
        <v>0.146234778097179</v>
      </c>
      <c r="C12" s="9">
        <f t="shared" si="6"/>
        <v>0.1439190696925037</v>
      </c>
      <c r="D12" s="9">
        <f t="shared" si="6"/>
        <v>0.14127602007682927</v>
      </c>
      <c r="E12" s="9">
        <f t="shared" si="6"/>
        <v>0.14200126944286762</v>
      </c>
      <c r="F12" s="9">
        <f t="shared" si="6"/>
        <v>0.13899363126509526</v>
      </c>
      <c r="G12" s="9">
        <f t="shared" si="6"/>
        <v>0.14151744407969824</v>
      </c>
      <c r="H12" s="9">
        <f t="shared" si="6"/>
        <v>0.13488356024915996</v>
      </c>
      <c r="I12" s="9">
        <f t="shared" si="6"/>
        <v>0.13499202877781605</v>
      </c>
      <c r="J12" s="9">
        <f t="shared" si="6"/>
        <v>0.13381753913118927</v>
      </c>
      <c r="K12" s="9">
        <f t="shared" si="6"/>
        <v>0.13082036781521295</v>
      </c>
      <c r="L12" s="9">
        <f t="shared" si="6"/>
        <v>0.13296332342597403</v>
      </c>
      <c r="M12" s="9">
        <f t="shared" si="6"/>
        <v>0.13588747536819021</v>
      </c>
      <c r="N12" s="9">
        <f t="shared" si="6"/>
        <v>0.13707234804323271</v>
      </c>
      <c r="O12" s="9">
        <f t="shared" si="6"/>
        <v>0.13161042183845026</v>
      </c>
      <c r="P12" s="9">
        <f t="shared" si="6"/>
        <v>0.13007041640168243</v>
      </c>
      <c r="Q12" s="9">
        <f t="shared" si="6"/>
        <v>0.13318357030443903</v>
      </c>
      <c r="R12" s="9">
        <f t="shared" si="6"/>
        <v>0.12864918758593458</v>
      </c>
      <c r="S12" s="9">
        <f t="shared" si="6"/>
        <v>0.12430504696677439</v>
      </c>
      <c r="T12" s="9">
        <f t="shared" si="6"/>
        <v>0.12586268922779462</v>
      </c>
      <c r="U12" s="9">
        <f t="shared" si="6"/>
        <v>0.1249310561284384</v>
      </c>
      <c r="V12" s="9">
        <f t="shared" si="6"/>
        <v>0.12750017551512616</v>
      </c>
      <c r="W12" s="9">
        <f t="shared" si="6"/>
        <v>0.12509464283445115</v>
      </c>
      <c r="X12" s="9">
        <f t="shared" si="6"/>
        <v>0.11826562069798842</v>
      </c>
      <c r="Y12" s="9">
        <f t="shared" si="6"/>
        <v>0.11638488863364181</v>
      </c>
      <c r="Z12" s="9">
        <f t="shared" si="6"/>
        <v>0.11984038982417648</v>
      </c>
      <c r="AA12" s="9">
        <f t="shared" si="6"/>
        <v>0.11558262056948487</v>
      </c>
      <c r="AB12" s="9">
        <f t="shared" si="6"/>
        <v>0.11513890265379517</v>
      </c>
      <c r="AC12" s="9">
        <f t="shared" si="6"/>
        <v>0.11419406025012724</v>
      </c>
      <c r="AD12" s="9">
        <f t="shared" si="6"/>
        <v>0.11504929904898425</v>
      </c>
      <c r="AE12" s="9">
        <f t="shared" si="6"/>
        <v>0.11215631238295515</v>
      </c>
      <c r="AF12" s="9">
        <f t="shared" si="6"/>
        <v>0.11209481405757611</v>
      </c>
      <c r="AG12" s="9">
        <f t="shared" si="6"/>
        <v>0.10851147483233498</v>
      </c>
      <c r="AH12" s="9">
        <f t="shared" ref="AH12:BA12" si="7">AH9/AH11</f>
        <v>0.10492717289324653</v>
      </c>
      <c r="AI12" s="9">
        <f t="shared" si="7"/>
        <v>0.11009708352617029</v>
      </c>
      <c r="AJ12" s="9">
        <f t="shared" si="7"/>
        <v>0.10630642373774501</v>
      </c>
      <c r="AK12" s="9">
        <f t="shared" si="7"/>
        <v>0.10749939660565226</v>
      </c>
      <c r="AL12" s="9">
        <f t="shared" si="7"/>
        <v>0.11039658902430127</v>
      </c>
      <c r="AM12" s="9">
        <f t="shared" si="7"/>
        <v>0.11176341748467931</v>
      </c>
      <c r="AN12" s="9">
        <f t="shared" si="7"/>
        <v>0.10801984579198894</v>
      </c>
      <c r="AO12" s="9">
        <f t="shared" si="7"/>
        <v>0.11073030154235872</v>
      </c>
      <c r="AP12" s="9">
        <f t="shared" si="7"/>
        <v>0.11289968058963755</v>
      </c>
      <c r="AQ12" s="9">
        <f t="shared" si="7"/>
        <v>0.10707829405243494</v>
      </c>
      <c r="AR12" s="9">
        <f t="shared" si="7"/>
        <v>0.10491889104020478</v>
      </c>
      <c r="AS12" s="9">
        <f t="shared" si="7"/>
        <v>0.10685610870624206</v>
      </c>
      <c r="AT12" s="9">
        <f t="shared" si="7"/>
        <v>0.10926516994904076</v>
      </c>
      <c r="AU12" s="9">
        <f t="shared" si="7"/>
        <v>0.10969291455485305</v>
      </c>
      <c r="AV12" s="9">
        <f t="shared" si="7"/>
        <v>0.10747402053963008</v>
      </c>
      <c r="AW12" s="9">
        <f t="shared" si="7"/>
        <v>0.10477240370035966</v>
      </c>
      <c r="AX12" s="9">
        <f t="shared" si="7"/>
        <v>0.10412544050965369</v>
      </c>
      <c r="AY12" s="9">
        <f t="shared" si="7"/>
        <v>0.10289810723649002</v>
      </c>
      <c r="AZ12" s="9">
        <f t="shared" si="7"/>
        <v>9.9353760379282618E-2</v>
      </c>
      <c r="BA12" s="9">
        <f t="shared" si="7"/>
        <v>9.9219623966207357E-2</v>
      </c>
    </row>
    <row r="13" spans="1:54" s="15" customFormat="1" x14ac:dyDescent="0.35">
      <c r="A13" s="46" t="s">
        <v>116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70"/>
      <c r="AW13" s="64"/>
      <c r="AX13" s="6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 Quarterly change in GDP</vt:lpstr>
      <vt:lpstr>2. GDP growth by sector</vt:lpstr>
      <vt:lpstr>3. Manufacturing sales</vt:lpstr>
      <vt:lpstr>4. Mining production &amp; sales</vt:lpstr>
      <vt:lpstr>5. Mining unit prices</vt:lpstr>
      <vt:lpstr>6. Auto sales</vt:lpstr>
      <vt:lpstr>7. Expenditure on GDP</vt:lpstr>
      <vt:lpstr>8. Employment by sector Q4</vt:lpstr>
      <vt:lpstr>9. Employment in mfg and other</vt:lpstr>
      <vt:lpstr>10. Employment by occupation</vt:lpstr>
      <vt:lpstr>11. Empl by mfg industry</vt:lpstr>
      <vt:lpstr>12. Mining employment</vt:lpstr>
      <vt:lpstr>13. Exports, imports, BOT</vt:lpstr>
      <vt:lpstr>14. Exports &amp; imports by sector</vt:lpstr>
      <vt:lpstr>15. Manufacturing trade</vt:lpstr>
      <vt:lpstr>16. Investment by organisation</vt:lpstr>
      <vt:lpstr>17. Return on assets</vt:lpstr>
      <vt:lpstr>18. Mining and mfg returns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 Makgetla</dc:creator>
  <cp:lastModifiedBy>Neva Makgetla</cp:lastModifiedBy>
  <dcterms:created xsi:type="dcterms:W3CDTF">2021-03-10T03:20:57Z</dcterms:created>
  <dcterms:modified xsi:type="dcterms:W3CDTF">2021-03-12T06:16:21Z</dcterms:modified>
</cp:coreProperties>
</file>