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3.xml" ContentType="application/vnd.openxmlformats-officedocument.themeOverrid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4.xml" ContentType="application/vnd.openxmlformats-officedocument.themeOverrid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8.xml" ContentType="application/vnd.openxmlformats-officedocument.themeOverrid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s\econ data\real economy bulletin\REB Q1 2021\"/>
    </mc:Choice>
  </mc:AlternateContent>
  <bookViews>
    <workbookView xWindow="0" yWindow="0" windowWidth="19200" windowHeight="7960" firstSheet="20" activeTab="21"/>
  </bookViews>
  <sheets>
    <sheet name="1. Quarterly GDP growth" sheetId="1" r:id="rId1"/>
    <sheet name="2. GDP growth by sector" sheetId="2" r:id="rId2"/>
    <sheet name="3. Manufacturing sales" sheetId="3" r:id="rId3"/>
    <sheet name="4. Mfg sales by industry" sheetId="11" r:id="rId4"/>
    <sheet name="5. Mining production &amp; sales" sheetId="4" r:id="rId5"/>
    <sheet name="6. Auto sales" sheetId="6" r:id="rId6"/>
    <sheet name="7. Expenditure on GDP" sheetId="7" r:id="rId7"/>
    <sheet name="8. Budget rel GDP" sheetId="13" r:id="rId8"/>
    <sheet name="9. Employment by sector " sheetId="14" r:id="rId9"/>
    <sheet name="10. Employment in mfg and other" sheetId="15" r:id="rId10"/>
    <sheet name="11. Employment by occupation" sheetId="16" r:id="rId11"/>
    <sheet name="12. Empl by mfg industry" sheetId="17" r:id="rId12"/>
    <sheet name="13. Mining employment" sheetId="18" r:id="rId13"/>
    <sheet name="14. Exports, imports, BOT" sheetId="19" r:id="rId14"/>
    <sheet name="15. Exports by sector" sheetId="20" r:id="rId15"/>
    <sheet name="16. Mining exports" sheetId="23" r:id="rId16"/>
    <sheet name="17. Imports by sector" sheetId="22" r:id="rId17"/>
    <sheet name="Table 1. Trade by mfg subsector" sheetId="21" r:id="rId18"/>
    <sheet name="18. Investment by organisation" sheetId="10" r:id="rId19"/>
    <sheet name="19. Quarterly investment" sheetId="9" r:id="rId20"/>
    <sheet name="20. Return on assets" sheetId="24" r:id="rId21"/>
    <sheet name="21. Mining &amp; mfg profits" sheetId="2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0" hidden="1">'[1]Table 2.5'!#REF!</definedName>
    <definedName name="_AMO_SingleObject_104386094_ROM_F0.SEC2.Tabulate_1.SEC2.BDY.Cross_tabular_summary_report_Table_1" localSheetId="9" hidden="1">'[1]Table 2.5'!#REF!</definedName>
    <definedName name="_AMO_SingleObject_104386094_ROM_F0.SEC2.Tabulate_1.SEC2.BDY.Cross_tabular_summary_report_Table_1" localSheetId="10" hidden="1">'[1]Table 2.5'!#REF!</definedName>
    <definedName name="_AMO_SingleObject_104386094_ROM_F0.SEC2.Tabulate_1.SEC2.BDY.Cross_tabular_summary_report_Table_1" localSheetId="11" hidden="1">'[1]Table 2.5'!#REF!</definedName>
    <definedName name="_AMO_SingleObject_104386094_ROM_F0.SEC2.Tabulate_1.SEC2.BDY.Cross_tabular_summary_report_Table_1" localSheetId="12" hidden="1">'[1]Table 2.5'!#REF!</definedName>
    <definedName name="_AMO_SingleObject_104386094_ROM_F0.SEC2.Tabulate_1.SEC2.BDY.Cross_tabular_summary_report_Table_1" localSheetId="16" hidden="1">'[1]Table 2.5'!#REF!</definedName>
    <definedName name="_AMO_SingleObject_104386094_ROM_F0.SEC2.Tabulate_1.SEC2.BDY.Cross_tabular_summary_report_Table_1" localSheetId="18" hidden="1">'[1]Table 2.5'!#REF!</definedName>
    <definedName name="_AMO_SingleObject_104386094_ROM_F0.SEC2.Tabulate_1.SEC2.BDY.Cross_tabular_summary_report_Table_1" localSheetId="19" hidden="1">'[1]Table 2.5'!#REF!</definedName>
    <definedName name="_AMO_SingleObject_104386094_ROM_F0.SEC2.Tabulate_1.SEC2.BDY.Cross_tabular_summary_report_Table_1" localSheetId="1" hidden="1">'[1]Table 2.5'!#REF!</definedName>
    <definedName name="_AMO_SingleObject_104386094_ROM_F0.SEC2.Tabulate_1.SEC2.BDY.Cross_tabular_summary_report_Table_1" localSheetId="3" hidden="1">'[1]Table 2.5'!#REF!</definedName>
    <definedName name="_AMO_SingleObject_104386094_ROM_F0.SEC2.Tabulate_1.SEC2.BDY.Cross_tabular_summary_report_Table_1" localSheetId="4" hidden="1">'[1]Table 2.5'!#REF!</definedName>
    <definedName name="_AMO_SingleObject_104386094_ROM_F0.SEC2.Tabulate_1.SEC2.BDY.Cross_tabular_summary_report_Table_1" localSheetId="5" hidden="1">'[1]Table 2.5'!#REF!</definedName>
    <definedName name="_AMO_SingleObject_104386094_ROM_F0.SEC2.Tabulate_1.SEC2.BDY.Cross_tabular_summary_report_Table_1" localSheetId="8" hidden="1">'[1]Table 2.5'!#REF!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localSheetId="0" hidden="1">[1]Table3.8b!#REF!</definedName>
    <definedName name="_AMO_SingleObject_205779628_ROM_F0.SEC2.Tabulate_1.SEC2.BDY.Cross_tabular_summary_report_Table_1" localSheetId="9" hidden="1">[1]Table3.8b!#REF!</definedName>
    <definedName name="_AMO_SingleObject_205779628_ROM_F0.SEC2.Tabulate_1.SEC2.BDY.Cross_tabular_summary_report_Table_1" localSheetId="10" hidden="1">[1]Table3.8b!#REF!</definedName>
    <definedName name="_AMO_SingleObject_205779628_ROM_F0.SEC2.Tabulate_1.SEC2.BDY.Cross_tabular_summary_report_Table_1" localSheetId="11" hidden="1">[1]Table3.8b!#REF!</definedName>
    <definedName name="_AMO_SingleObject_205779628_ROM_F0.SEC2.Tabulate_1.SEC2.BDY.Cross_tabular_summary_report_Table_1" localSheetId="12" hidden="1">[1]Table3.8b!#REF!</definedName>
    <definedName name="_AMO_SingleObject_205779628_ROM_F0.SEC2.Tabulate_1.SEC2.BDY.Cross_tabular_summary_report_Table_1" localSheetId="16" hidden="1">[1]Table3.8b!#REF!</definedName>
    <definedName name="_AMO_SingleObject_205779628_ROM_F0.SEC2.Tabulate_1.SEC2.BDY.Cross_tabular_summary_report_Table_1" localSheetId="18" hidden="1">[1]Table3.8b!#REF!</definedName>
    <definedName name="_AMO_SingleObject_205779628_ROM_F0.SEC2.Tabulate_1.SEC2.BDY.Cross_tabular_summary_report_Table_1" localSheetId="19" hidden="1">[1]Table3.8b!#REF!</definedName>
    <definedName name="_AMO_SingleObject_205779628_ROM_F0.SEC2.Tabulate_1.SEC2.BDY.Cross_tabular_summary_report_Table_1" localSheetId="1" hidden="1">[1]Table3.8b!#REF!</definedName>
    <definedName name="_AMO_SingleObject_205779628_ROM_F0.SEC2.Tabulate_1.SEC2.BDY.Cross_tabular_summary_report_Table_1" localSheetId="3" hidden="1">[1]Table3.8b!#REF!</definedName>
    <definedName name="_AMO_SingleObject_205779628_ROM_F0.SEC2.Tabulate_1.SEC2.BDY.Cross_tabular_summary_report_Table_1" localSheetId="4" hidden="1">[1]Table3.8b!#REF!</definedName>
    <definedName name="_AMO_SingleObject_205779628_ROM_F0.SEC2.Tabulate_1.SEC2.BDY.Cross_tabular_summary_report_Table_1" localSheetId="5" hidden="1">[1]Table3.8b!#REF!</definedName>
    <definedName name="_AMO_SingleObject_205779628_ROM_F0.SEC2.Tabulate_1.SEC2.BDY.Cross_tabular_summary_report_Table_1" localSheetId="8" hidden="1">[1]Table3.8b!#REF!</definedName>
    <definedName name="_AMO_SingleObject_205779628_ROM_F0.SEC2.Tabulate_1.SEC2.BDY.Cross_tabular_summary_report_Table_1" hidden="1">[1]Table3.8b!#REF!</definedName>
    <definedName name="_AMO_SingleObject_30194841_ROM_F0.SEC2.Tabulate_1.SEC1.FTR.TXT1" localSheetId="0" hidden="1">[1]Table6!#REF!</definedName>
    <definedName name="_AMO_SingleObject_30194841_ROM_F0.SEC2.Tabulate_1.SEC1.FTR.TXT1" localSheetId="9" hidden="1">[1]Table6!#REF!</definedName>
    <definedName name="_AMO_SingleObject_30194841_ROM_F0.SEC2.Tabulate_1.SEC1.FTR.TXT1" localSheetId="10" hidden="1">[1]Table6!#REF!</definedName>
    <definedName name="_AMO_SingleObject_30194841_ROM_F0.SEC2.Tabulate_1.SEC1.FTR.TXT1" localSheetId="11" hidden="1">[1]Table6!#REF!</definedName>
    <definedName name="_AMO_SingleObject_30194841_ROM_F0.SEC2.Tabulate_1.SEC1.FTR.TXT1" localSheetId="12" hidden="1">[1]Table6!#REF!</definedName>
    <definedName name="_AMO_SingleObject_30194841_ROM_F0.SEC2.Tabulate_1.SEC1.FTR.TXT1" localSheetId="16" hidden="1">[1]Table6!#REF!</definedName>
    <definedName name="_AMO_SingleObject_30194841_ROM_F0.SEC2.Tabulate_1.SEC1.FTR.TXT1" localSheetId="18" hidden="1">[1]Table6!#REF!</definedName>
    <definedName name="_AMO_SingleObject_30194841_ROM_F0.SEC2.Tabulate_1.SEC1.FTR.TXT1" localSheetId="19" hidden="1">[1]Table6!#REF!</definedName>
    <definedName name="_AMO_SingleObject_30194841_ROM_F0.SEC2.Tabulate_1.SEC1.FTR.TXT1" localSheetId="1" hidden="1">[1]Table6!#REF!</definedName>
    <definedName name="_AMO_SingleObject_30194841_ROM_F0.SEC2.Tabulate_1.SEC1.FTR.TXT1" localSheetId="3" hidden="1">[1]Table6!#REF!</definedName>
    <definedName name="_AMO_SingleObject_30194841_ROM_F0.SEC2.Tabulate_1.SEC1.FTR.TXT1" localSheetId="4" hidden="1">[1]Table6!#REF!</definedName>
    <definedName name="_AMO_SingleObject_30194841_ROM_F0.SEC2.Tabulate_1.SEC1.FTR.TXT1" localSheetId="5" hidden="1">[1]Table6!#REF!</definedName>
    <definedName name="_AMO_SingleObject_30194841_ROM_F0.SEC2.Tabulate_1.SEC1.FTR.TXT1" localSheetId="8" hidden="1">[1]Table6!#REF!</definedName>
    <definedName name="_AMO_SingleObject_30194841_ROM_F0.SEC2.Tabulate_1.SEC1.FTR.TXT1" hidden="1">[1]Table6!#REF!</definedName>
    <definedName name="_AMO_SingleObject_37461558_ROM_F0.SEC2.Tabulate_1.SEC1.HDR.TXT1" localSheetId="0" hidden="1">'[1]Table 2.4'!#REF!</definedName>
    <definedName name="_AMO_SingleObject_37461558_ROM_F0.SEC2.Tabulate_1.SEC1.HDR.TXT1" localSheetId="9" hidden="1">'[1]Table 2.4'!#REF!</definedName>
    <definedName name="_AMO_SingleObject_37461558_ROM_F0.SEC2.Tabulate_1.SEC1.HDR.TXT1" localSheetId="10" hidden="1">'[1]Table 2.4'!#REF!</definedName>
    <definedName name="_AMO_SingleObject_37461558_ROM_F0.SEC2.Tabulate_1.SEC1.HDR.TXT1" localSheetId="11" hidden="1">'[1]Table 2.4'!#REF!</definedName>
    <definedName name="_AMO_SingleObject_37461558_ROM_F0.SEC2.Tabulate_1.SEC1.HDR.TXT1" localSheetId="12" hidden="1">'[1]Table 2.4'!#REF!</definedName>
    <definedName name="_AMO_SingleObject_37461558_ROM_F0.SEC2.Tabulate_1.SEC1.HDR.TXT1" localSheetId="16" hidden="1">'[1]Table 2.4'!#REF!</definedName>
    <definedName name="_AMO_SingleObject_37461558_ROM_F0.SEC2.Tabulate_1.SEC1.HDR.TXT1" localSheetId="18" hidden="1">'[1]Table 2.4'!#REF!</definedName>
    <definedName name="_AMO_SingleObject_37461558_ROM_F0.SEC2.Tabulate_1.SEC1.HDR.TXT1" localSheetId="19" hidden="1">'[1]Table 2.4'!#REF!</definedName>
    <definedName name="_AMO_SingleObject_37461558_ROM_F0.SEC2.Tabulate_1.SEC1.HDR.TXT1" localSheetId="1" hidden="1">'[1]Table 2.4'!#REF!</definedName>
    <definedName name="_AMO_SingleObject_37461558_ROM_F0.SEC2.Tabulate_1.SEC1.HDR.TXT1" localSheetId="3" hidden="1">'[1]Table 2.4'!#REF!</definedName>
    <definedName name="_AMO_SingleObject_37461558_ROM_F0.SEC2.Tabulate_1.SEC1.HDR.TXT1" localSheetId="4" hidden="1">'[1]Table 2.4'!#REF!</definedName>
    <definedName name="_AMO_SingleObject_37461558_ROM_F0.SEC2.Tabulate_1.SEC1.HDR.TXT1" localSheetId="5" hidden="1">'[1]Table 2.4'!#REF!</definedName>
    <definedName name="_AMO_SingleObject_37461558_ROM_F0.SEC2.Tabulate_1.SEC1.HDR.TXT1" localSheetId="8" hidden="1">'[1]Table 2.4'!#REF!</definedName>
    <definedName name="_AMO_SingleObject_37461558_ROM_F0.SEC2.Tabulate_1.SEC1.HDR.TXT1" hidden="1">'[1]Table 2.4'!#REF!</definedName>
    <definedName name="_AMO_SingleObject_732119577_ROM_F0.SEC2.Tabulate_1.SEC2.BDY.Cross_tabular_summary_report_Table_1" localSheetId="0" hidden="1">[1]Table3.8c!#REF!</definedName>
    <definedName name="_AMO_SingleObject_732119577_ROM_F0.SEC2.Tabulate_1.SEC2.BDY.Cross_tabular_summary_report_Table_1" localSheetId="9" hidden="1">[1]Table3.8c!#REF!</definedName>
    <definedName name="_AMO_SingleObject_732119577_ROM_F0.SEC2.Tabulate_1.SEC2.BDY.Cross_tabular_summary_report_Table_1" localSheetId="10" hidden="1">[1]Table3.8c!#REF!</definedName>
    <definedName name="_AMO_SingleObject_732119577_ROM_F0.SEC2.Tabulate_1.SEC2.BDY.Cross_tabular_summary_report_Table_1" localSheetId="11" hidden="1">[1]Table3.8c!#REF!</definedName>
    <definedName name="_AMO_SingleObject_732119577_ROM_F0.SEC2.Tabulate_1.SEC2.BDY.Cross_tabular_summary_report_Table_1" localSheetId="12" hidden="1">[1]Table3.8c!#REF!</definedName>
    <definedName name="_AMO_SingleObject_732119577_ROM_F0.SEC2.Tabulate_1.SEC2.BDY.Cross_tabular_summary_report_Table_1" localSheetId="16" hidden="1">[1]Table3.8c!#REF!</definedName>
    <definedName name="_AMO_SingleObject_732119577_ROM_F0.SEC2.Tabulate_1.SEC2.BDY.Cross_tabular_summary_report_Table_1" localSheetId="18" hidden="1">[1]Table3.8c!#REF!</definedName>
    <definedName name="_AMO_SingleObject_732119577_ROM_F0.SEC2.Tabulate_1.SEC2.BDY.Cross_tabular_summary_report_Table_1" localSheetId="19" hidden="1">[1]Table3.8c!#REF!</definedName>
    <definedName name="_AMO_SingleObject_732119577_ROM_F0.SEC2.Tabulate_1.SEC2.BDY.Cross_tabular_summary_report_Table_1" localSheetId="1" hidden="1">[1]Table3.8c!#REF!</definedName>
    <definedName name="_AMO_SingleObject_732119577_ROM_F0.SEC2.Tabulate_1.SEC2.BDY.Cross_tabular_summary_report_Table_1" localSheetId="3" hidden="1">[1]Table3.8c!#REF!</definedName>
    <definedName name="_AMO_SingleObject_732119577_ROM_F0.SEC2.Tabulate_1.SEC2.BDY.Cross_tabular_summary_report_Table_1" localSheetId="4" hidden="1">[1]Table3.8c!#REF!</definedName>
    <definedName name="_AMO_SingleObject_732119577_ROM_F0.SEC2.Tabulate_1.SEC2.BDY.Cross_tabular_summary_report_Table_1" localSheetId="5" hidden="1">[1]Table3.8c!#REF!</definedName>
    <definedName name="_AMO_SingleObject_732119577_ROM_F0.SEC2.Tabulate_1.SEC2.BDY.Cross_tabular_summary_report_Table_1" localSheetId="8" hidden="1">[1]Table3.8c!#REF!</definedName>
    <definedName name="_AMO_SingleObject_732119577_ROM_F0.SEC2.Tabulate_1.SEC2.BDY.Cross_tabular_summary_report_Table_1" hidden="1">[1]Table3.8c!#REF!</definedName>
    <definedName name="_AMO_SingleObject_921006515_ROM_F0.SEC2.Tabulate_1.SEC1.FTR.TXT1" localSheetId="0" hidden="1">'[1]Table 2'!#REF!</definedName>
    <definedName name="_AMO_SingleObject_921006515_ROM_F0.SEC2.Tabulate_1.SEC1.FTR.TXT1" localSheetId="9" hidden="1">'[1]Table 2'!#REF!</definedName>
    <definedName name="_AMO_SingleObject_921006515_ROM_F0.SEC2.Tabulate_1.SEC1.FTR.TXT1" localSheetId="10" hidden="1">'[1]Table 2'!#REF!</definedName>
    <definedName name="_AMO_SingleObject_921006515_ROM_F0.SEC2.Tabulate_1.SEC1.FTR.TXT1" localSheetId="11" hidden="1">'[1]Table 2'!#REF!</definedName>
    <definedName name="_AMO_SingleObject_921006515_ROM_F0.SEC2.Tabulate_1.SEC1.FTR.TXT1" localSheetId="12" hidden="1">'[1]Table 2'!#REF!</definedName>
    <definedName name="_AMO_SingleObject_921006515_ROM_F0.SEC2.Tabulate_1.SEC1.FTR.TXT1" localSheetId="16" hidden="1">'[1]Table 2'!#REF!</definedName>
    <definedName name="_AMO_SingleObject_921006515_ROM_F0.SEC2.Tabulate_1.SEC1.FTR.TXT1" localSheetId="18" hidden="1">'[1]Table 2'!#REF!</definedName>
    <definedName name="_AMO_SingleObject_921006515_ROM_F0.SEC2.Tabulate_1.SEC1.FTR.TXT1" localSheetId="19" hidden="1">'[1]Table 2'!#REF!</definedName>
    <definedName name="_AMO_SingleObject_921006515_ROM_F0.SEC2.Tabulate_1.SEC1.FTR.TXT1" localSheetId="1" hidden="1">'[1]Table 2'!#REF!</definedName>
    <definedName name="_AMO_SingleObject_921006515_ROM_F0.SEC2.Tabulate_1.SEC1.FTR.TXT1" localSheetId="3" hidden="1">'[1]Table 2'!#REF!</definedName>
    <definedName name="_AMO_SingleObject_921006515_ROM_F0.SEC2.Tabulate_1.SEC1.FTR.TXT1" localSheetId="4" hidden="1">'[1]Table 2'!#REF!</definedName>
    <definedName name="_AMO_SingleObject_921006515_ROM_F0.SEC2.Tabulate_1.SEC1.FTR.TXT1" localSheetId="5" hidden="1">'[1]Table 2'!#REF!</definedName>
    <definedName name="_AMO_SingleObject_921006515_ROM_F0.SEC2.Tabulate_1.SEC1.FTR.TXT1" localSheetId="8" hidden="1">'[1]Table 2'!#REF!</definedName>
    <definedName name="_AMO_SingleObject_921006515_ROM_F0.SEC2.Tabulate_1.SEC1.FTR.TXT1" hidden="1">'[1]Table 2'!#REF!</definedName>
    <definedName name="_AMO_SingleObject_921006515_ROM_F0.SEC2.Tabulate_1.SEC1.HDR.TXT1" localSheetId="0" hidden="1">'[1]Table 2'!#REF!</definedName>
    <definedName name="_AMO_SingleObject_921006515_ROM_F0.SEC2.Tabulate_1.SEC1.HDR.TXT1" localSheetId="9" hidden="1">'[1]Table 2'!#REF!</definedName>
    <definedName name="_AMO_SingleObject_921006515_ROM_F0.SEC2.Tabulate_1.SEC1.HDR.TXT1" localSheetId="10" hidden="1">'[1]Table 2'!#REF!</definedName>
    <definedName name="_AMO_SingleObject_921006515_ROM_F0.SEC2.Tabulate_1.SEC1.HDR.TXT1" localSheetId="11" hidden="1">'[1]Table 2'!#REF!</definedName>
    <definedName name="_AMO_SingleObject_921006515_ROM_F0.SEC2.Tabulate_1.SEC1.HDR.TXT1" localSheetId="12" hidden="1">'[1]Table 2'!#REF!</definedName>
    <definedName name="_AMO_SingleObject_921006515_ROM_F0.SEC2.Tabulate_1.SEC1.HDR.TXT1" localSheetId="16" hidden="1">'[1]Table 2'!#REF!</definedName>
    <definedName name="_AMO_SingleObject_921006515_ROM_F0.SEC2.Tabulate_1.SEC1.HDR.TXT1" localSheetId="18" hidden="1">'[1]Table 2'!#REF!</definedName>
    <definedName name="_AMO_SingleObject_921006515_ROM_F0.SEC2.Tabulate_1.SEC1.HDR.TXT1" localSheetId="19" hidden="1">'[1]Table 2'!#REF!</definedName>
    <definedName name="_AMO_SingleObject_921006515_ROM_F0.SEC2.Tabulate_1.SEC1.HDR.TXT1" localSheetId="1" hidden="1">'[1]Table 2'!#REF!</definedName>
    <definedName name="_AMO_SingleObject_921006515_ROM_F0.SEC2.Tabulate_1.SEC1.HDR.TXT1" localSheetId="3" hidden="1">'[1]Table 2'!#REF!</definedName>
    <definedName name="_AMO_SingleObject_921006515_ROM_F0.SEC2.Tabulate_1.SEC1.HDR.TXT1" localSheetId="4" hidden="1">'[1]Table 2'!#REF!</definedName>
    <definedName name="_AMO_SingleObject_921006515_ROM_F0.SEC2.Tabulate_1.SEC1.HDR.TXT1" localSheetId="5" hidden="1">'[1]Table 2'!#REF!</definedName>
    <definedName name="_AMO_SingleObject_921006515_ROM_F0.SEC2.Tabulate_1.SEC1.HDR.TXT1" localSheetId="8" hidden="1">'[1]Table 2'!#REF!</definedName>
    <definedName name="_AMO_SingleObject_921006515_ROM_F0.SEC2.Tabulate_1.SEC1.HDR.TXT1" hidden="1">'[1]Table 2'!#REF!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19" hidden="1">"'1d42739f-d7fd-4229-a551-64b856bb941d'"</definedName>
    <definedName name="_AMO_UniqueIdentifier" hidden="1">"'1d42739f-d7fd-4229-a551-64b856bb941d'"</definedName>
    <definedName name="_AMO_XmlVersion" hidden="1">"'1'"</definedName>
    <definedName name="_xlnm._FilterDatabase" localSheetId="14" hidden="1">'15. Exports by sector'!$A$4:$B$36</definedName>
    <definedName name="_xlnm._FilterDatabase" localSheetId="16" hidden="1">'17. Imports by sector'!$A$3:$B$35</definedName>
    <definedName name="Asanda" localSheetId="16">'[2]Table 2'!#REF!</definedName>
    <definedName name="Asanda" localSheetId="18">'[2]Table 2'!#REF!</definedName>
    <definedName name="Asanda" localSheetId="19">'[2]Table 2'!#REF!</definedName>
    <definedName name="Asanda" localSheetId="3">'[2]Table 2'!#REF!</definedName>
    <definedName name="B1_av78" localSheetId="16">#REF!</definedName>
    <definedName name="B1_av78" localSheetId="18">#REF!</definedName>
    <definedName name="B1_av78" localSheetId="19">#REF!</definedName>
    <definedName name="B1_av78" localSheetId="3">#REF!</definedName>
    <definedName name="Budget_adjusted_96_97" localSheetId="16">#REF!</definedName>
    <definedName name="Budget_adjusted_96_97" localSheetId="18">#REF!</definedName>
    <definedName name="Budget_adjusted_96_97" localSheetId="19">#REF!</definedName>
    <definedName name="Budget_adjusted_96_97" localSheetId="3">#REF!</definedName>
    <definedName name="Budget_main_96_97" localSheetId="16">#REF!</definedName>
    <definedName name="Budget_main_96_97" localSheetId="18">#REF!</definedName>
    <definedName name="Budget_main_96_97" localSheetId="19">#REF!</definedName>
    <definedName name="Budget_main_96_97" localSheetId="3">#REF!</definedName>
    <definedName name="Budget_main_97_98" localSheetId="16">#REF!</definedName>
    <definedName name="Budget_main_97_98" localSheetId="18">#REF!</definedName>
    <definedName name="Budget_main_97_98" localSheetId="19">#REF!</definedName>
    <definedName name="Budget_main_97_98" localSheetId="3">#REF!</definedName>
    <definedName name="Budget_main_97_98">#REF!</definedName>
    <definedName name="DHDHDH" localSheetId="16">#REF!</definedName>
    <definedName name="DHDHDH" localSheetId="18">#REF!</definedName>
    <definedName name="DHDHDH" localSheetId="19">#REF!</definedName>
    <definedName name="DHDHDH" localSheetId="3">#REF!</definedName>
    <definedName name="DHDHDH">#REF!</definedName>
    <definedName name="Emp" localSheetId="16" hidden="1">'[1]Table 2'!#REF!</definedName>
    <definedName name="Emp" localSheetId="18" hidden="1">'[1]Table 2'!#REF!</definedName>
    <definedName name="Emp" localSheetId="19" hidden="1">'[1]Table 2'!#REF!</definedName>
    <definedName name="Emp" localSheetId="3" hidden="1">'[1]Table 2'!#REF!</definedName>
    <definedName name="Emp" hidden="1">'[1]Table 2'!#REF!</definedName>
    <definedName name="End_column" localSheetId="16">#REF!</definedName>
    <definedName name="End_column" localSheetId="18">#REF!</definedName>
    <definedName name="End_column" localSheetId="19">#REF!</definedName>
    <definedName name="End_column" localSheetId="3">#REF!</definedName>
    <definedName name="End_column">#REF!</definedName>
    <definedName name="End_Row" localSheetId="16">#REF!</definedName>
    <definedName name="End_Row" localSheetId="18">#REF!</definedName>
    <definedName name="End_Row" localSheetId="19">#REF!</definedName>
    <definedName name="End_Row" localSheetId="3">#REF!</definedName>
    <definedName name="End_Row">#REF!</definedName>
    <definedName name="End_sheet" localSheetId="16">#REF!</definedName>
    <definedName name="End_sheet" localSheetId="18">#REF!</definedName>
    <definedName name="End_sheet" localSheetId="19">#REF!</definedName>
    <definedName name="End_sheet" localSheetId="3">#REF!</definedName>
    <definedName name="End_sheet">#REF!</definedName>
    <definedName name="Expend_actual_96_97" localSheetId="16">#REF!</definedName>
    <definedName name="Expend_actual_96_97" localSheetId="18">#REF!</definedName>
    <definedName name="Expend_actual_96_97" localSheetId="19">#REF!</definedName>
    <definedName name="Expend_actual_96_97" localSheetId="3">#REF!</definedName>
    <definedName name="Expend_actual_96_97">#REF!</definedName>
    <definedName name="FitTall" localSheetId="16">#REF!</definedName>
    <definedName name="FitTall" localSheetId="18">#REF!</definedName>
    <definedName name="FitTall" localSheetId="19">#REF!</definedName>
    <definedName name="FitTall" localSheetId="3">#REF!</definedName>
    <definedName name="FitTall">#REF!</definedName>
    <definedName name="FitWide" localSheetId="16">#REF!</definedName>
    <definedName name="FitWide" localSheetId="18">#REF!</definedName>
    <definedName name="FitWide" localSheetId="19">#REF!</definedName>
    <definedName name="FitWide" localSheetId="3">#REF!</definedName>
    <definedName name="FitWide">#REF!</definedName>
    <definedName name="FooterLeft1" localSheetId="16">#REF!</definedName>
    <definedName name="FooterLeft1" localSheetId="18">#REF!</definedName>
    <definedName name="FooterLeft1" localSheetId="19">#REF!</definedName>
    <definedName name="FooterLeft1" localSheetId="3">#REF!</definedName>
    <definedName name="FooterLeft1">#REF!</definedName>
    <definedName name="FooterLeft2" localSheetId="16">#REF!</definedName>
    <definedName name="FooterLeft2" localSheetId="18">#REF!</definedName>
    <definedName name="FooterLeft2" localSheetId="19">#REF!</definedName>
    <definedName name="FooterLeft2" localSheetId="3">#REF!</definedName>
    <definedName name="FooterLeft2">#REF!</definedName>
    <definedName name="FooterLeft3" localSheetId="16">#REF!</definedName>
    <definedName name="FooterLeft3" localSheetId="18">#REF!</definedName>
    <definedName name="FooterLeft3" localSheetId="19">#REF!</definedName>
    <definedName name="FooterLeft3" localSheetId="3">#REF!</definedName>
    <definedName name="FooterLeft3">#REF!</definedName>
    <definedName name="FooterLeft4" localSheetId="16">#REF!</definedName>
    <definedName name="FooterLeft4" localSheetId="18">#REF!</definedName>
    <definedName name="FooterLeft4" localSheetId="19">#REF!</definedName>
    <definedName name="FooterLeft4" localSheetId="3">#REF!</definedName>
    <definedName name="FooterLeft4">#REF!</definedName>
    <definedName name="FooterLeft5" localSheetId="16">#REF!</definedName>
    <definedName name="FooterLeft5" localSheetId="18">#REF!</definedName>
    <definedName name="FooterLeft5" localSheetId="19">#REF!</definedName>
    <definedName name="FooterLeft5" localSheetId="3">#REF!</definedName>
    <definedName name="FooterLeft5">#REF!</definedName>
    <definedName name="FooterLeft6" localSheetId="16">#REF!</definedName>
    <definedName name="FooterLeft6" localSheetId="18">#REF!</definedName>
    <definedName name="FooterLeft6" localSheetId="19">#REF!</definedName>
    <definedName name="FooterLeft6" localSheetId="3">#REF!</definedName>
    <definedName name="FooterLeft6">#REF!</definedName>
    <definedName name="FooterRight1" localSheetId="16">#REF!</definedName>
    <definedName name="FooterRight1" localSheetId="18">#REF!</definedName>
    <definedName name="FooterRight1" localSheetId="19">#REF!</definedName>
    <definedName name="FooterRight1" localSheetId="3">#REF!</definedName>
    <definedName name="FooterRight1">#REF!</definedName>
    <definedName name="FooterRight2" localSheetId="16">#REF!</definedName>
    <definedName name="FooterRight2" localSheetId="18">#REF!</definedName>
    <definedName name="FooterRight2" localSheetId="19">#REF!</definedName>
    <definedName name="FooterRight2" localSheetId="3">#REF!</definedName>
    <definedName name="FooterRight2">#REF!</definedName>
    <definedName name="FooterRight3" localSheetId="16">#REF!</definedName>
    <definedName name="FooterRight3" localSheetId="18">#REF!</definedName>
    <definedName name="FooterRight3" localSheetId="19">#REF!</definedName>
    <definedName name="FooterRight3" localSheetId="3">#REF!</definedName>
    <definedName name="FooterRight3">#REF!</definedName>
    <definedName name="FooterRight4" localSheetId="16">#REF!</definedName>
    <definedName name="FooterRight4" localSheetId="18">#REF!</definedName>
    <definedName name="FooterRight4" localSheetId="19">#REF!</definedName>
    <definedName name="FooterRight4" localSheetId="3">#REF!</definedName>
    <definedName name="FooterRight4">#REF!</definedName>
    <definedName name="FooterRight5" localSheetId="16">#REF!</definedName>
    <definedName name="FooterRight5" localSheetId="18">#REF!</definedName>
    <definedName name="FooterRight5" localSheetId="19">#REF!</definedName>
    <definedName name="FooterRight5" localSheetId="3">#REF!</definedName>
    <definedName name="FooterRight5">#REF!</definedName>
    <definedName name="FooterRight6" localSheetId="16">#REF!</definedName>
    <definedName name="FooterRight6" localSheetId="18">#REF!</definedName>
    <definedName name="FooterRight6" localSheetId="19">#REF!</definedName>
    <definedName name="FooterRight6" localSheetId="3">#REF!</definedName>
    <definedName name="FooterRight6">#REF!</definedName>
    <definedName name="HeaderLeft1" localSheetId="16">#REF!</definedName>
    <definedName name="HeaderLeft1" localSheetId="18">#REF!</definedName>
    <definedName name="HeaderLeft1" localSheetId="19">#REF!</definedName>
    <definedName name="HeaderLeft1" localSheetId="3">#REF!</definedName>
    <definedName name="HeaderLeft1">#REF!</definedName>
    <definedName name="HeaderLeft2" localSheetId="16">#REF!</definedName>
    <definedName name="HeaderLeft2" localSheetId="18">#REF!</definedName>
    <definedName name="HeaderLeft2" localSheetId="19">#REF!</definedName>
    <definedName name="HeaderLeft2" localSheetId="3">#REF!</definedName>
    <definedName name="HeaderLeft2">#REF!</definedName>
    <definedName name="HeaderLeft3" localSheetId="16">#REF!</definedName>
    <definedName name="HeaderLeft3" localSheetId="18">#REF!</definedName>
    <definedName name="HeaderLeft3" localSheetId="19">#REF!</definedName>
    <definedName name="HeaderLeft3" localSheetId="3">#REF!</definedName>
    <definedName name="HeaderLeft3">#REF!</definedName>
    <definedName name="HeaderLeft4" localSheetId="16">#REF!</definedName>
    <definedName name="HeaderLeft4" localSheetId="18">#REF!</definedName>
    <definedName name="HeaderLeft4" localSheetId="19">#REF!</definedName>
    <definedName name="HeaderLeft4" localSheetId="3">#REF!</definedName>
    <definedName name="HeaderLeft4">#REF!</definedName>
    <definedName name="HeaderLeft5" localSheetId="16">#REF!</definedName>
    <definedName name="HeaderLeft5" localSheetId="18">#REF!</definedName>
    <definedName name="HeaderLeft5" localSheetId="19">#REF!</definedName>
    <definedName name="HeaderLeft5" localSheetId="3">#REF!</definedName>
    <definedName name="HeaderLeft5">#REF!</definedName>
    <definedName name="HeaderLeft6" localSheetId="16">#REF!</definedName>
    <definedName name="HeaderLeft6" localSheetId="18">#REF!</definedName>
    <definedName name="HeaderLeft6" localSheetId="19">#REF!</definedName>
    <definedName name="HeaderLeft6" localSheetId="3">#REF!</definedName>
    <definedName name="HeaderLeft6">#REF!</definedName>
    <definedName name="HeaderRight1" localSheetId="16">#REF!</definedName>
    <definedName name="HeaderRight1" localSheetId="18">#REF!</definedName>
    <definedName name="HeaderRight1" localSheetId="19">#REF!</definedName>
    <definedName name="HeaderRight1" localSheetId="3">#REF!</definedName>
    <definedName name="HeaderRight1">#REF!</definedName>
    <definedName name="HeaderRight2" localSheetId="16">#REF!</definedName>
    <definedName name="HeaderRight2" localSheetId="18">#REF!</definedName>
    <definedName name="HeaderRight2" localSheetId="19">#REF!</definedName>
    <definedName name="HeaderRight2" localSheetId="3">#REF!</definedName>
    <definedName name="HeaderRight2">#REF!</definedName>
    <definedName name="HeaderRight3" localSheetId="16">#REF!</definedName>
    <definedName name="HeaderRight3" localSheetId="18">#REF!</definedName>
    <definedName name="HeaderRight3" localSheetId="19">#REF!</definedName>
    <definedName name="HeaderRight3" localSheetId="3">#REF!</definedName>
    <definedName name="HeaderRight3">#REF!</definedName>
    <definedName name="HeaderRight4" localSheetId="16">#REF!</definedName>
    <definedName name="HeaderRight4" localSheetId="18">#REF!</definedName>
    <definedName name="HeaderRight4" localSheetId="19">#REF!</definedName>
    <definedName name="HeaderRight4" localSheetId="3">#REF!</definedName>
    <definedName name="HeaderRight4">#REF!</definedName>
    <definedName name="HeaderRight5" localSheetId="16">#REF!</definedName>
    <definedName name="HeaderRight5" localSheetId="18">#REF!</definedName>
    <definedName name="HeaderRight5" localSheetId="19">#REF!</definedName>
    <definedName name="HeaderRight5" localSheetId="3">#REF!</definedName>
    <definedName name="HeaderRight5">#REF!</definedName>
    <definedName name="HeaderRight6" localSheetId="16">#REF!</definedName>
    <definedName name="HeaderRight6" localSheetId="18">#REF!</definedName>
    <definedName name="HeaderRight6" localSheetId="19">#REF!</definedName>
    <definedName name="HeaderRight6" localSheetId="3">#REF!</definedName>
    <definedName name="HeaderRight6">#REF!</definedName>
    <definedName name="Hennie_Table_5_Page_1" localSheetId="16">#REF!</definedName>
    <definedName name="Hennie_Table_5_Page_1" localSheetId="18">#REF!</definedName>
    <definedName name="Hennie_Table_5_Page_1" localSheetId="19">#REF!</definedName>
    <definedName name="Hennie_Table_5_Page_1" localSheetId="3">#REF!</definedName>
    <definedName name="Hennie_Table_5_Page_1">#REF!</definedName>
    <definedName name="Hennie_Table_5_page_2" localSheetId="16">#REF!</definedName>
    <definedName name="Hennie_Table_5_page_2" localSheetId="18">#REF!</definedName>
    <definedName name="Hennie_Table_5_page_2" localSheetId="19">#REF!</definedName>
    <definedName name="Hennie_Table_5_page_2" localSheetId="3">#REF!</definedName>
    <definedName name="Hennie_Table_5_page_2">#REF!</definedName>
    <definedName name="hhuh" localSheetId="16">#REF!</definedName>
    <definedName name="hhuh" localSheetId="18">#REF!</definedName>
    <definedName name="hhuh" localSheetId="19">#REF!</definedName>
    <definedName name="hhuh" localSheetId="3">#REF!</definedName>
    <definedName name="hhuh">#REF!</definedName>
    <definedName name="huh" localSheetId="16">#REF!</definedName>
    <definedName name="huh" localSheetId="18">#REF!</definedName>
    <definedName name="huh" localSheetId="19">#REF!</definedName>
    <definedName name="huh" localSheetId="3">#REF!</definedName>
    <definedName name="huh">#REF!</definedName>
    <definedName name="Index_Sheet_Kutools" localSheetId="16">#REF!</definedName>
    <definedName name="Index_Sheet_Kutools" localSheetId="18">#REF!</definedName>
    <definedName name="Index_Sheet_Kutools" localSheetId="19">#REF!</definedName>
    <definedName name="Index_Sheet_Kutools" localSheetId="3">#REF!</definedName>
    <definedName name="Index_Sheet_Kutools">#REF!</definedName>
    <definedName name="j" localSheetId="0" hidden="1">'[1]Table 2.5'!#REF!</definedName>
    <definedName name="j" localSheetId="9" hidden="1">'[1]Table 2.5'!#REF!</definedName>
    <definedName name="j" localSheetId="10" hidden="1">'[1]Table 2.5'!#REF!</definedName>
    <definedName name="j" localSheetId="11" hidden="1">'[1]Table 2.5'!#REF!</definedName>
    <definedName name="j" localSheetId="12" hidden="1">'[1]Table 2.5'!#REF!</definedName>
    <definedName name="j" localSheetId="16" hidden="1">'[1]Table 2.5'!#REF!</definedName>
    <definedName name="j" localSheetId="18" hidden="1">'[1]Table 2.5'!#REF!</definedName>
    <definedName name="j" localSheetId="19" hidden="1">'[1]Table 2.5'!#REF!</definedName>
    <definedName name="j" localSheetId="1" hidden="1">'[1]Table 2.5'!#REF!</definedName>
    <definedName name="j" localSheetId="3" hidden="1">'[1]Table 2.5'!#REF!</definedName>
    <definedName name="j" localSheetId="4" hidden="1">'[1]Table 2.5'!#REF!</definedName>
    <definedName name="j" localSheetId="5" hidden="1">'[1]Table 2.5'!#REF!</definedName>
    <definedName name="j" localSheetId="8" hidden="1">'[1]Table 2.5'!#REF!</definedName>
    <definedName name="j" hidden="1">'[1]Table 2.5'!#REF!</definedName>
    <definedName name="mmm" localSheetId="16" hidden="1">[1]Table6!#REF!</definedName>
    <definedName name="mmm" localSheetId="18" hidden="1">[1]Table6!#REF!</definedName>
    <definedName name="mmm" localSheetId="19" hidden="1">[1]Table6!#REF!</definedName>
    <definedName name="mmm" localSheetId="3" hidden="1">[1]Table6!#REF!</definedName>
    <definedName name="mmm" hidden="1">[1]Table6!#REF!</definedName>
    <definedName name="MTEF_initial_00_01" localSheetId="16">#REF!</definedName>
    <definedName name="MTEF_initial_00_01" localSheetId="18">#REF!</definedName>
    <definedName name="MTEF_initial_00_01" localSheetId="19">#REF!</definedName>
    <definedName name="MTEF_initial_00_01" localSheetId="3">#REF!</definedName>
    <definedName name="MTEF_initial_00_01">#REF!</definedName>
    <definedName name="MTEF_initial_98_99" localSheetId="16">#REF!</definedName>
    <definedName name="MTEF_initial_98_99" localSheetId="18">#REF!</definedName>
    <definedName name="MTEF_initial_98_99" localSheetId="19">#REF!</definedName>
    <definedName name="MTEF_initial_98_99" localSheetId="3">#REF!</definedName>
    <definedName name="MTEF_initial_98_99">#REF!</definedName>
    <definedName name="MTEF_initial_99_00" localSheetId="16">#REF!</definedName>
    <definedName name="MTEF_initial_99_00" localSheetId="18">#REF!</definedName>
    <definedName name="MTEF_initial_99_00" localSheetId="19">#REF!</definedName>
    <definedName name="MTEF_initial_99_00" localSheetId="3">#REF!</definedName>
    <definedName name="MTEF_initial_99_00">#REF!</definedName>
    <definedName name="MTEF_revised_00_01" localSheetId="16">#REF!</definedName>
    <definedName name="MTEF_revised_00_01" localSheetId="18">#REF!</definedName>
    <definedName name="MTEF_revised_00_01" localSheetId="19">#REF!</definedName>
    <definedName name="MTEF_revised_00_01" localSheetId="3">#REF!</definedName>
    <definedName name="MTEF_revised_00_01">#REF!</definedName>
    <definedName name="MTEF_revised_98_99" localSheetId="16">#REF!</definedName>
    <definedName name="MTEF_revised_98_99" localSheetId="18">#REF!</definedName>
    <definedName name="MTEF_revised_98_99" localSheetId="19">#REF!</definedName>
    <definedName name="MTEF_revised_98_99" localSheetId="3">#REF!</definedName>
    <definedName name="MTEF_revised_98_99">#REF!</definedName>
    <definedName name="MTEF_revised_99_00" localSheetId="16">#REF!</definedName>
    <definedName name="MTEF_revised_99_00" localSheetId="18">#REF!</definedName>
    <definedName name="MTEF_revised_99_00" localSheetId="19">#REF!</definedName>
    <definedName name="MTEF_revised_99_00" localSheetId="3">#REF!</definedName>
    <definedName name="MTEF_revised_99_00">#REF!</definedName>
    <definedName name="MyCurYear" localSheetId="16">#REF!</definedName>
    <definedName name="MyCurYear" localSheetId="18">#REF!</definedName>
    <definedName name="MyCurYear" localSheetId="19">#REF!</definedName>
    <definedName name="MyCurYear" localSheetId="3">#REF!</definedName>
    <definedName name="MyCurYear">#REF!</definedName>
    <definedName name="myHeight" localSheetId="16">#REF!</definedName>
    <definedName name="myHeight" localSheetId="18">#REF!</definedName>
    <definedName name="myHeight" localSheetId="19">#REF!</definedName>
    <definedName name="myHeight" localSheetId="3">#REF!</definedName>
    <definedName name="myHeight">#REF!</definedName>
    <definedName name="myWidth" localSheetId="16">#REF!</definedName>
    <definedName name="myWidth" localSheetId="18">#REF!</definedName>
    <definedName name="myWidth" localSheetId="19">#REF!</definedName>
    <definedName name="myWidth" localSheetId="3">#REF!</definedName>
    <definedName name="myWidth">#REF!</definedName>
    <definedName name="myWodth" localSheetId="16">#REF!</definedName>
    <definedName name="myWodth" localSheetId="18">#REF!</definedName>
    <definedName name="myWodth" localSheetId="19">#REF!</definedName>
    <definedName name="myWodth" localSheetId="3">#REF!</definedName>
    <definedName name="myWodth">#REF!</definedName>
    <definedName name="PrintArea" localSheetId="16">#REF!</definedName>
    <definedName name="PrintArea" localSheetId="18">#REF!</definedName>
    <definedName name="PrintArea" localSheetId="19">#REF!</definedName>
    <definedName name="PrintArea" localSheetId="3">#REF!</definedName>
    <definedName name="PrintArea">#REF!</definedName>
    <definedName name="Projection_adjusted_97_98" localSheetId="16">#REF!</definedName>
    <definedName name="Projection_adjusted_97_98" localSheetId="18">#REF!</definedName>
    <definedName name="Projection_adjusted_97_98" localSheetId="19">#REF!</definedName>
    <definedName name="Projection_adjusted_97_98" localSheetId="3">#REF!</definedName>
    <definedName name="Projection_adjusted_97_98">#REF!</definedName>
    <definedName name="Projection_arithmetic_97_98" localSheetId="16">#REF!</definedName>
    <definedName name="Projection_arithmetic_97_98" localSheetId="18">#REF!</definedName>
    <definedName name="Projection_arithmetic_97_98" localSheetId="19">#REF!</definedName>
    <definedName name="Projection_arithmetic_97_98" localSheetId="3">#REF!</definedName>
    <definedName name="Projection_arithmetic_97_98">#REF!</definedName>
    <definedName name="Projection_initial_97_98" localSheetId="16">#REF!</definedName>
    <definedName name="Projection_initial_97_98" localSheetId="18">#REF!</definedName>
    <definedName name="Projection_initial_97_98" localSheetId="19">#REF!</definedName>
    <definedName name="Projection_initial_97_98" localSheetId="3">#REF!</definedName>
    <definedName name="Projection_initial_97_98">#REF!</definedName>
    <definedName name="RowSettings" localSheetId="16">#REF!</definedName>
    <definedName name="RowSettings" localSheetId="18">#REF!</definedName>
    <definedName name="RowSettings" localSheetId="19">#REF!</definedName>
    <definedName name="RowSettings" localSheetId="3">#REF!</definedName>
    <definedName name="RowSettings">#REF!</definedName>
    <definedName name="SASApp_GDPDATA_DISCREPANCY_TABLE" localSheetId="16">#REF!</definedName>
    <definedName name="SASApp_GDPDATA_DISCREPANCY_TABLE" localSheetId="18">#REF!</definedName>
    <definedName name="SASApp_GDPDATA_DISCREPANCY_TABLE" localSheetId="19">#REF!</definedName>
    <definedName name="SASApp_GDPDATA_DISCREPANCY_TABLE" localSheetId="3">#REF!</definedName>
    <definedName name="SASApp_GDPDATA_DISCREPANCY_TABLE">#REF!</definedName>
    <definedName name="SASApp_GDPDATA_SUPPLY_TABLE_FIRST" localSheetId="16">#REF!</definedName>
    <definedName name="SASApp_GDPDATA_SUPPLY_TABLE_FIRST" localSheetId="18">#REF!</definedName>
    <definedName name="SASApp_GDPDATA_SUPPLY_TABLE_FIRST" localSheetId="19">#REF!</definedName>
    <definedName name="SASApp_GDPDATA_SUPPLY_TABLE_FIRST" localSheetId="3">#REF!</definedName>
    <definedName name="SASApp_GDPDATA_SUPPLY_TABLE_FIRST">#REF!</definedName>
    <definedName name="SASApp_GDPDATA_SUPPLY_TABLE_SECOND" localSheetId="16">#REF!</definedName>
    <definedName name="SASApp_GDPDATA_SUPPLY_TABLE_SECOND" localSheetId="18">#REF!</definedName>
    <definedName name="SASApp_GDPDATA_SUPPLY_TABLE_SECOND" localSheetId="19">#REF!</definedName>
    <definedName name="SASApp_GDPDATA_SUPPLY_TABLE_SECOND" localSheetId="3">#REF!</definedName>
    <definedName name="SASApp_GDPDATA_SUPPLY_TABLE_SECOND">#REF!</definedName>
    <definedName name="SASApp_GDPDATA_USE_TABLE_FIRST" localSheetId="16">#REF!</definedName>
    <definedName name="SASApp_GDPDATA_USE_TABLE_FIRST" localSheetId="18">#REF!</definedName>
    <definedName name="SASApp_GDPDATA_USE_TABLE_FIRST" localSheetId="19">#REF!</definedName>
    <definedName name="SASApp_GDPDATA_USE_TABLE_FIRST" localSheetId="3">#REF!</definedName>
    <definedName name="SASApp_GDPDATA_USE_TABLE_FIRST">#REF!</definedName>
    <definedName name="SASApp_GDPDATA_USE_TABLE_SECOND" localSheetId="16">#REF!</definedName>
    <definedName name="SASApp_GDPDATA_USE_TABLE_SECOND" localSheetId="18">#REF!</definedName>
    <definedName name="SASApp_GDPDATA_USE_TABLE_SECOND" localSheetId="19">#REF!</definedName>
    <definedName name="SASApp_GDPDATA_USE_TABLE_SECOND" localSheetId="3">#REF!</definedName>
    <definedName name="SASApp_GDPDATA_USE_TABLE_SECOND">#REF!</definedName>
    <definedName name="SEP08N_SML" localSheetId="16">#REF!</definedName>
    <definedName name="SEP08N_SML" localSheetId="18">#REF!</definedName>
    <definedName name="SEP08N_SML" localSheetId="19">#REF!</definedName>
    <definedName name="SEP08N_SML" localSheetId="3">#REF!</definedName>
    <definedName name="SEP08N_SML">#REF!</definedName>
    <definedName name="Start_column" localSheetId="16">#REF!</definedName>
    <definedName name="Start_column" localSheetId="18">#REF!</definedName>
    <definedName name="Start_column" localSheetId="19">#REF!</definedName>
    <definedName name="Start_column" localSheetId="3">#REF!</definedName>
    <definedName name="Start_column">#REF!</definedName>
    <definedName name="Start_Row" localSheetId="16">#REF!</definedName>
    <definedName name="Start_Row" localSheetId="18">#REF!</definedName>
    <definedName name="Start_Row" localSheetId="19">#REF!</definedName>
    <definedName name="Start_Row" localSheetId="3">#REF!</definedName>
    <definedName name="Start_Row">#REF!</definedName>
    <definedName name="Start_sheet" localSheetId="16">#REF!</definedName>
    <definedName name="Start_sheet" localSheetId="18">#REF!</definedName>
    <definedName name="Start_sheet" localSheetId="19">#REF!</definedName>
    <definedName name="Start_sheet" localSheetId="3">#REF!</definedName>
    <definedName name="Start_sheet">#REF!</definedName>
    <definedName name="Summary_Tables" localSheetId="16">[2]Table1!#REF!</definedName>
    <definedName name="Summary_Tables" localSheetId="18">[2]Table1!#REF!</definedName>
    <definedName name="Summary_Tables" localSheetId="19">[2]Table1!#REF!</definedName>
    <definedName name="Summary_Tables" localSheetId="3">[2]Table1!#REF!</definedName>
    <definedName name="Summary_Tables">[2]Table1!#REF!</definedName>
    <definedName name="Summary_Tables_10" localSheetId="16">#REF!</definedName>
    <definedName name="Summary_Tables_10" localSheetId="18">#REF!</definedName>
    <definedName name="Summary_Tables_10" localSheetId="19">#REF!</definedName>
    <definedName name="Summary_Tables_10" localSheetId="3">#REF!</definedName>
    <definedName name="Summary_Tables_10">#REF!</definedName>
    <definedName name="Summary_Tables_11" localSheetId="16">[2]Table2.1!#REF!</definedName>
    <definedName name="Summary_Tables_11" localSheetId="18">[2]Table2.1!#REF!</definedName>
    <definedName name="Summary_Tables_11" localSheetId="19">[2]Table2.1!#REF!</definedName>
    <definedName name="Summary_Tables_11" localSheetId="3">[2]Table2.1!#REF!</definedName>
    <definedName name="Summary_Tables_11">[2]Table2.1!#REF!</definedName>
    <definedName name="Summary_Tables_14" localSheetId="16">#REF!</definedName>
    <definedName name="Summary_Tables_14" localSheetId="18">#REF!</definedName>
    <definedName name="Summary_Tables_14" localSheetId="19">#REF!</definedName>
    <definedName name="Summary_Tables_14" localSheetId="3">#REF!</definedName>
    <definedName name="Summary_Tables_14">#REF!</definedName>
    <definedName name="Summary_Tables_15" localSheetId="16">#REF!</definedName>
    <definedName name="Summary_Tables_15" localSheetId="18">#REF!</definedName>
    <definedName name="Summary_Tables_15" localSheetId="19">#REF!</definedName>
    <definedName name="Summary_Tables_15" localSheetId="3">#REF!</definedName>
    <definedName name="Summary_Tables_15">#REF!</definedName>
    <definedName name="Summary_Tables_17" localSheetId="16">[2]Table3.7!#REF!</definedName>
    <definedName name="Summary_Tables_17" localSheetId="18">[2]Table3.7!#REF!</definedName>
    <definedName name="Summary_Tables_17" localSheetId="19">[2]Table3.7!#REF!</definedName>
    <definedName name="Summary_Tables_17" localSheetId="3">[2]Table3.7!#REF!</definedName>
    <definedName name="Summary_Tables_17">[2]Table3.7!#REF!</definedName>
    <definedName name="Summary_Tables_18" localSheetId="16">[2]Table3.6!#REF!</definedName>
    <definedName name="Summary_Tables_18" localSheetId="18">[2]Table3.6!#REF!</definedName>
    <definedName name="Summary_Tables_18" localSheetId="19">[2]Table3.6!#REF!</definedName>
    <definedName name="Summary_Tables_18" localSheetId="3">[2]Table3.6!#REF!</definedName>
    <definedName name="Summary_Tables_18">[2]Table3.6!#REF!</definedName>
    <definedName name="Summary_Tables_19" localSheetId="16">#REF!</definedName>
    <definedName name="Summary_Tables_19" localSheetId="18">#REF!</definedName>
    <definedName name="Summary_Tables_19" localSheetId="19">#REF!</definedName>
    <definedName name="Summary_Tables_19" localSheetId="3">#REF!</definedName>
    <definedName name="Summary_Tables_19">#REF!</definedName>
    <definedName name="Summary_Tables_2" localSheetId="16">[2]Table1!#REF!</definedName>
    <definedName name="Summary_Tables_2" localSheetId="18">[2]Table1!#REF!</definedName>
    <definedName name="Summary_Tables_2" localSheetId="19">[2]Table1!#REF!</definedName>
    <definedName name="Summary_Tables_2" localSheetId="3">[2]Table1!#REF!</definedName>
    <definedName name="Summary_Tables_2">[2]Table1!#REF!</definedName>
    <definedName name="Summary_Tables_20" localSheetId="16">[2]Table4!#REF!</definedName>
    <definedName name="Summary_Tables_20" localSheetId="18">[2]Table4!#REF!</definedName>
    <definedName name="Summary_Tables_20" localSheetId="19">[2]Table4!#REF!</definedName>
    <definedName name="Summary_Tables_20" localSheetId="3">[2]Table4!#REF!</definedName>
    <definedName name="Summary_Tables_20">[2]Table4!#REF!</definedName>
    <definedName name="Summary_Tables_24" localSheetId="16">[2]Table8!#REF!</definedName>
    <definedName name="Summary_Tables_24" localSheetId="18">[2]Table8!#REF!</definedName>
    <definedName name="Summary_Tables_24" localSheetId="19">[2]Table8!#REF!</definedName>
    <definedName name="Summary_Tables_24" localSheetId="3">[2]Table8!#REF!</definedName>
    <definedName name="Summary_Tables_24">[2]Table8!#REF!</definedName>
    <definedName name="Summary_Tables_25" localSheetId="16">[2]Table2.2!#REF!</definedName>
    <definedName name="Summary_Tables_25" localSheetId="18">[2]Table2.2!#REF!</definedName>
    <definedName name="Summary_Tables_25" localSheetId="19">[2]Table2.2!#REF!</definedName>
    <definedName name="Summary_Tables_25" localSheetId="3">[2]Table2.2!#REF!</definedName>
    <definedName name="Summary_Tables_25">[2]Table2.2!#REF!</definedName>
    <definedName name="Summary_Tables_26" localSheetId="16">[2]Table2.2!#REF!</definedName>
    <definedName name="Summary_Tables_26" localSheetId="18">[2]Table2.2!#REF!</definedName>
    <definedName name="Summary_Tables_26" localSheetId="19">[2]Table2.2!#REF!</definedName>
    <definedName name="Summary_Tables_26" localSheetId="3">[2]Table2.2!#REF!</definedName>
    <definedName name="Summary_Tables_26">[2]Table2.2!#REF!</definedName>
    <definedName name="Summary_Tables_27" localSheetId="16">#REF!</definedName>
    <definedName name="Summary_Tables_27" localSheetId="18">#REF!</definedName>
    <definedName name="Summary_Tables_27" localSheetId="19">#REF!</definedName>
    <definedName name="Summary_Tables_27" localSheetId="3">#REF!</definedName>
    <definedName name="Summary_Tables_27">#REF!</definedName>
    <definedName name="Summary_Tables_28" localSheetId="16">'[2]Table 2'!#REF!</definedName>
    <definedName name="Summary_Tables_28" localSheetId="18">'[2]Table 2'!#REF!</definedName>
    <definedName name="Summary_Tables_28" localSheetId="19">'[2]Table 2'!#REF!</definedName>
    <definedName name="Summary_Tables_28" localSheetId="3">'[2]Table 2'!#REF!</definedName>
    <definedName name="Summary_Tables_28">'[2]Table 2'!#REF!</definedName>
    <definedName name="Summary_Tables_29" localSheetId="16">'[2]Table 2'!#REF!</definedName>
    <definedName name="Summary_Tables_29" localSheetId="18">'[2]Table 2'!#REF!</definedName>
    <definedName name="Summary_Tables_29" localSheetId="19">'[2]Table 2'!#REF!</definedName>
    <definedName name="Summary_Tables_29" localSheetId="3">'[2]Table 2'!#REF!</definedName>
    <definedName name="Summary_Tables_29">'[2]Table 2'!#REF!</definedName>
    <definedName name="Summary_Tables_3" localSheetId="16">[3]Table2.2!#REF!</definedName>
    <definedName name="Summary_Tables_3" localSheetId="18">[3]Table2.2!#REF!</definedName>
    <definedName name="Summary_Tables_3" localSheetId="19">[3]Table2.2!#REF!</definedName>
    <definedName name="Summary_Tables_3" localSheetId="3">[3]Table2.2!#REF!</definedName>
    <definedName name="Summary_Tables_3">[3]Table2.2!#REF!</definedName>
    <definedName name="Summary_Tables_30" localSheetId="16">'[2]Table 2'!#REF!</definedName>
    <definedName name="Summary_Tables_30" localSheetId="18">'[2]Table 2'!#REF!</definedName>
    <definedName name="Summary_Tables_30" localSheetId="19">'[2]Table 2'!#REF!</definedName>
    <definedName name="Summary_Tables_30" localSheetId="3">'[2]Table 2'!#REF!</definedName>
    <definedName name="Summary_Tables_30">'[2]Table 2'!#REF!</definedName>
    <definedName name="Summary_Tables_31" localSheetId="16">#REF!</definedName>
    <definedName name="Summary_Tables_31" localSheetId="18">#REF!</definedName>
    <definedName name="Summary_Tables_31" localSheetId="19">#REF!</definedName>
    <definedName name="Summary_Tables_31" localSheetId="3">#REF!</definedName>
    <definedName name="Summary_Tables_31">#REF!</definedName>
    <definedName name="Summary_Tables_32" localSheetId="16">#REF!</definedName>
    <definedName name="Summary_Tables_32" localSheetId="18">#REF!</definedName>
    <definedName name="Summary_Tables_32" localSheetId="19">#REF!</definedName>
    <definedName name="Summary_Tables_32" localSheetId="3">#REF!</definedName>
    <definedName name="Summary_Tables_32">#REF!</definedName>
    <definedName name="Summary_Tables_34" localSheetId="16">[2]Table3.8a!#REF!</definedName>
    <definedName name="Summary_Tables_34" localSheetId="18">[2]Table3.8a!#REF!</definedName>
    <definedName name="Summary_Tables_34" localSheetId="19">[2]Table3.8a!#REF!</definedName>
    <definedName name="Summary_Tables_34" localSheetId="3">[2]Table3.8a!#REF!</definedName>
    <definedName name="Summary_Tables_34">[2]Table3.8a!#REF!</definedName>
    <definedName name="Summary_Tables_35" localSheetId="16">[2]Table3.8b!#REF!</definedName>
    <definedName name="Summary_Tables_35" localSheetId="18">[2]Table3.8b!#REF!</definedName>
    <definedName name="Summary_Tables_35" localSheetId="19">[2]Table3.8b!#REF!</definedName>
    <definedName name="Summary_Tables_35" localSheetId="3">[2]Table3.8b!#REF!</definedName>
    <definedName name="Summary_Tables_35">[2]Table3.8b!#REF!</definedName>
    <definedName name="Summary_Tables_36" localSheetId="16">#REF!</definedName>
    <definedName name="Summary_Tables_36" localSheetId="18">#REF!</definedName>
    <definedName name="Summary_Tables_36" localSheetId="19">#REF!</definedName>
    <definedName name="Summary_Tables_36" localSheetId="3">#REF!</definedName>
    <definedName name="Summary_Tables_36">#REF!</definedName>
    <definedName name="Summary_Tables_37" localSheetId="16">[2]Table3.8c!#REF!</definedName>
    <definedName name="Summary_Tables_37" localSheetId="18">[2]Table3.8c!#REF!</definedName>
    <definedName name="Summary_Tables_37" localSheetId="19">[2]Table3.8c!#REF!</definedName>
    <definedName name="Summary_Tables_37" localSheetId="3">[2]Table3.8c!#REF!</definedName>
    <definedName name="Summary_Tables_37">[2]Table3.8c!#REF!</definedName>
    <definedName name="Summary_Tables_38" localSheetId="16">[2]Table3.6!#REF!</definedName>
    <definedName name="Summary_Tables_38" localSheetId="18">[2]Table3.6!#REF!</definedName>
    <definedName name="Summary_Tables_38" localSheetId="19">[2]Table3.6!#REF!</definedName>
    <definedName name="Summary_Tables_38" localSheetId="3">[2]Table3.6!#REF!</definedName>
    <definedName name="Summary_Tables_38">[2]Table3.6!#REF!</definedName>
    <definedName name="Summary_Tables_4" localSheetId="16">[3]Table2.2!#REF!</definedName>
    <definedName name="Summary_Tables_4" localSheetId="18">[3]Table2.2!#REF!</definedName>
    <definedName name="Summary_Tables_4" localSheetId="19">[3]Table2.2!#REF!</definedName>
    <definedName name="Summary_Tables_4" localSheetId="3">[3]Table2.2!#REF!</definedName>
    <definedName name="Summary_Tables_4">[3]Table2.2!#REF!</definedName>
    <definedName name="Summary_Tables_44" localSheetId="16">[2]Table2.1!#REF!</definedName>
    <definedName name="Summary_Tables_44" localSheetId="18">[2]Table2.1!#REF!</definedName>
    <definedName name="Summary_Tables_44" localSheetId="19">[2]Table2.1!#REF!</definedName>
    <definedName name="Summary_Tables_44" localSheetId="3">[2]Table2.1!#REF!</definedName>
    <definedName name="Summary_Tables_44">[2]Table2.1!#REF!</definedName>
    <definedName name="Summary_Tables_45" localSheetId="16">[2]Table2.2!#REF!</definedName>
    <definedName name="Summary_Tables_45" localSheetId="18">[2]Table2.2!#REF!</definedName>
    <definedName name="Summary_Tables_45" localSheetId="19">[2]Table2.2!#REF!</definedName>
    <definedName name="Summary_Tables_45" localSheetId="3">[2]Table2.2!#REF!</definedName>
    <definedName name="Summary_Tables_45">[2]Table2.2!#REF!</definedName>
    <definedName name="Summary_Tables_46" localSheetId="16">[2]Table2.2!#REF!</definedName>
    <definedName name="Summary_Tables_46" localSheetId="18">[2]Table2.2!#REF!</definedName>
    <definedName name="Summary_Tables_46" localSheetId="19">[2]Table2.2!#REF!</definedName>
    <definedName name="Summary_Tables_46" localSheetId="3">[2]Table2.2!#REF!</definedName>
    <definedName name="Summary_Tables_46">[2]Table2.2!#REF!</definedName>
    <definedName name="Summary_Tables_5" localSheetId="16">[3]Table2.2!#REF!</definedName>
    <definedName name="Summary_Tables_5" localSheetId="18">[3]Table2.2!#REF!</definedName>
    <definedName name="Summary_Tables_5" localSheetId="19">[3]Table2.2!#REF!</definedName>
    <definedName name="Summary_Tables_5" localSheetId="3">[3]Table2.2!#REF!</definedName>
    <definedName name="Z_B5B3C281_3E7C_11D3_BF6D_444553540000_.wvu.Cols" localSheetId="0" hidden="1">#REF!,#REF!,#REF!,#REF!</definedName>
    <definedName name="Z_B5B3C281_3E7C_11D3_BF6D_444553540000_.wvu.Cols" localSheetId="9" hidden="1">#REF!,#REF!,#REF!,#REF!</definedName>
    <definedName name="Z_B5B3C281_3E7C_11D3_BF6D_444553540000_.wvu.Cols" localSheetId="10" hidden="1">#REF!,#REF!,#REF!,#REF!</definedName>
    <definedName name="Z_B5B3C281_3E7C_11D3_BF6D_444553540000_.wvu.Cols" localSheetId="11" hidden="1">#REF!,#REF!,#REF!,#REF!</definedName>
    <definedName name="Z_B5B3C281_3E7C_11D3_BF6D_444553540000_.wvu.Cols" localSheetId="12" hidden="1">#REF!,#REF!,#REF!,#REF!</definedName>
    <definedName name="Z_B5B3C281_3E7C_11D3_BF6D_444553540000_.wvu.Cols" localSheetId="16" hidden="1">#REF!,#REF!,#REF!,#REF!</definedName>
    <definedName name="Z_B5B3C281_3E7C_11D3_BF6D_444553540000_.wvu.Cols" localSheetId="18" hidden="1">#REF!,#REF!,#REF!,#REF!</definedName>
    <definedName name="Z_B5B3C281_3E7C_11D3_BF6D_444553540000_.wvu.Cols" localSheetId="19" hidden="1">#REF!,#REF!,#REF!,#REF!</definedName>
    <definedName name="Z_B5B3C281_3E7C_11D3_BF6D_444553540000_.wvu.Cols" localSheetId="1" hidden="1">#REF!,#REF!,#REF!,#REF!</definedName>
    <definedName name="Z_B5B3C281_3E7C_11D3_BF6D_444553540000_.wvu.Cols" localSheetId="3" hidden="1">#REF!,#REF!,#REF!,#REF!</definedName>
    <definedName name="Z_B5B3C281_3E7C_11D3_BF6D_444553540000_.wvu.Cols" localSheetId="4" hidden="1">#REF!,#REF!,#REF!,#REF!</definedName>
    <definedName name="Z_B5B3C281_3E7C_11D3_BF6D_444553540000_.wvu.Cols" localSheetId="5" hidden="1">#REF!,#REF!,#REF!,#REF!</definedName>
    <definedName name="Z_B5B3C281_3E7C_11D3_BF6D_444553540000_.wvu.Cols" localSheetId="8" hidden="1">#REF!,#REF!,#REF!,#REF!</definedName>
    <definedName name="Z_B5B3C281_3E7C_11D3_BF6D_444553540000_.wvu.Cols" hidden="1">#REF!,#REF!,#REF!,#REF!</definedName>
    <definedName name="Z_B5B3C281_3E7C_11D3_BF6D_444553540000_.wvu.PrintArea" localSheetId="0" hidden="1">#REF!</definedName>
    <definedName name="Z_B5B3C281_3E7C_11D3_BF6D_444553540000_.wvu.PrintArea" localSheetId="9" hidden="1">#REF!</definedName>
    <definedName name="Z_B5B3C281_3E7C_11D3_BF6D_444553540000_.wvu.PrintArea" localSheetId="10" hidden="1">#REF!</definedName>
    <definedName name="Z_B5B3C281_3E7C_11D3_BF6D_444553540000_.wvu.PrintArea" localSheetId="11" hidden="1">#REF!</definedName>
    <definedName name="Z_B5B3C281_3E7C_11D3_BF6D_444553540000_.wvu.PrintArea" localSheetId="12" hidden="1">#REF!</definedName>
    <definedName name="Z_B5B3C281_3E7C_11D3_BF6D_444553540000_.wvu.PrintArea" localSheetId="16" hidden="1">#REF!</definedName>
    <definedName name="Z_B5B3C281_3E7C_11D3_BF6D_444553540000_.wvu.PrintArea" localSheetId="18" hidden="1">#REF!</definedName>
    <definedName name="Z_B5B3C281_3E7C_11D3_BF6D_444553540000_.wvu.PrintArea" localSheetId="19" hidden="1">#REF!</definedName>
    <definedName name="Z_B5B3C281_3E7C_11D3_BF6D_444553540000_.wvu.PrintArea" localSheetId="1" hidden="1">#REF!</definedName>
    <definedName name="Z_B5B3C281_3E7C_11D3_BF6D_444553540000_.wvu.PrintArea" localSheetId="3" hidden="1">#REF!</definedName>
    <definedName name="Z_B5B3C281_3E7C_11D3_BF6D_444553540000_.wvu.PrintArea" localSheetId="4" hidden="1">#REF!</definedName>
    <definedName name="Z_B5B3C281_3E7C_11D3_BF6D_444553540000_.wvu.PrintArea" localSheetId="5" hidden="1">#REF!</definedName>
    <definedName name="Z_B5B3C281_3E7C_11D3_BF6D_444553540000_.wvu.PrintArea" localSheetId="8" hidden="1">#REF!</definedName>
    <definedName name="Z_B5B3C281_3E7C_11D3_BF6D_444553540000_.wvu.PrintArea" hidden="1">#REF!</definedName>
    <definedName name="Z_B5B3C281_3E7C_11D3_BF6D_444553540000_.wvu.Rows" localSheetId="0" hidden="1">#REF!</definedName>
    <definedName name="Z_B5B3C281_3E7C_11D3_BF6D_444553540000_.wvu.Rows" localSheetId="9" hidden="1">#REF!</definedName>
    <definedName name="Z_B5B3C281_3E7C_11D3_BF6D_444553540000_.wvu.Rows" localSheetId="10" hidden="1">#REF!</definedName>
    <definedName name="Z_B5B3C281_3E7C_11D3_BF6D_444553540000_.wvu.Rows" localSheetId="11" hidden="1">#REF!</definedName>
    <definedName name="Z_B5B3C281_3E7C_11D3_BF6D_444553540000_.wvu.Rows" localSheetId="12" hidden="1">#REF!</definedName>
    <definedName name="Z_B5B3C281_3E7C_11D3_BF6D_444553540000_.wvu.Rows" localSheetId="16" hidden="1">#REF!</definedName>
    <definedName name="Z_B5B3C281_3E7C_11D3_BF6D_444553540000_.wvu.Rows" localSheetId="18" hidden="1">#REF!</definedName>
    <definedName name="Z_B5B3C281_3E7C_11D3_BF6D_444553540000_.wvu.Rows" localSheetId="19" hidden="1">#REF!</definedName>
    <definedName name="Z_B5B3C281_3E7C_11D3_BF6D_444553540000_.wvu.Rows" localSheetId="1" hidden="1">#REF!</definedName>
    <definedName name="Z_B5B3C281_3E7C_11D3_BF6D_444553540000_.wvu.Rows" localSheetId="3" hidden="1">#REF!</definedName>
    <definedName name="Z_B5B3C281_3E7C_11D3_BF6D_444553540000_.wvu.Rows" localSheetId="4" hidden="1">#REF!</definedName>
    <definedName name="Z_B5B3C281_3E7C_11D3_BF6D_444553540000_.wvu.Rows" localSheetId="5" hidden="1">#REF!</definedName>
    <definedName name="Z_B5B3C281_3E7C_11D3_BF6D_444553540000_.wvu.Rows" localSheetId="8" hidden="1">#REF!</definedName>
    <definedName name="Z_B5B3C281_3E7C_11D3_BF6D_444553540000_.wvu.Row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4" l="1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E9" i="24"/>
  <c r="D9" i="24"/>
  <c r="C9" i="24"/>
  <c r="B9" i="24"/>
  <c r="E8" i="24"/>
  <c r="D8" i="24"/>
  <c r="C8" i="24"/>
  <c r="B8" i="24"/>
  <c r="E7" i="24"/>
  <c r="D7" i="24"/>
  <c r="C7" i="24"/>
  <c r="B7" i="24"/>
  <c r="E6" i="24"/>
  <c r="D6" i="24"/>
  <c r="C6" i="24"/>
  <c r="B6" i="24"/>
  <c r="C25" i="21" l="1"/>
  <c r="B25" i="21"/>
  <c r="S48" i="19"/>
  <c r="R48" i="19"/>
  <c r="Q48" i="19"/>
  <c r="L48" i="19"/>
  <c r="K48" i="19"/>
  <c r="M48" i="19" s="1"/>
  <c r="R47" i="19"/>
  <c r="Q47" i="19"/>
  <c r="S47" i="19" s="1"/>
  <c r="L47" i="19"/>
  <c r="K47" i="19"/>
  <c r="M47" i="19" s="1"/>
  <c r="R46" i="19"/>
  <c r="Q46" i="19"/>
  <c r="S46" i="19" s="1"/>
  <c r="L46" i="19"/>
  <c r="M46" i="19" s="1"/>
  <c r="K46" i="19"/>
  <c r="R45" i="19"/>
  <c r="Q45" i="19"/>
  <c r="S45" i="19" s="1"/>
  <c r="L45" i="19"/>
  <c r="K45" i="19"/>
  <c r="M45" i="19" s="1"/>
  <c r="S44" i="19"/>
  <c r="R44" i="19"/>
  <c r="Q44" i="19"/>
  <c r="L44" i="19"/>
  <c r="K44" i="19"/>
  <c r="M44" i="19" s="1"/>
  <c r="R43" i="19"/>
  <c r="Q43" i="19"/>
  <c r="S43" i="19" s="1"/>
  <c r="D43" i="19"/>
  <c r="L43" i="19" s="1"/>
  <c r="C43" i="19"/>
  <c r="K43" i="19" s="1"/>
  <c r="R42" i="19"/>
  <c r="Q42" i="19"/>
  <c r="S42" i="19" s="1"/>
  <c r="D42" i="19"/>
  <c r="L42" i="19" s="1"/>
  <c r="C42" i="19"/>
  <c r="K42" i="19" s="1"/>
  <c r="M42" i="19" s="1"/>
  <c r="R41" i="19"/>
  <c r="Q41" i="19"/>
  <c r="S41" i="19" s="1"/>
  <c r="D41" i="19"/>
  <c r="L41" i="19" s="1"/>
  <c r="C41" i="19"/>
  <c r="K41" i="19" s="1"/>
  <c r="R40" i="19"/>
  <c r="Q40" i="19"/>
  <c r="S40" i="19" s="1"/>
  <c r="L40" i="19"/>
  <c r="K40" i="19"/>
  <c r="M40" i="19" s="1"/>
  <c r="R39" i="19"/>
  <c r="Q39" i="19"/>
  <c r="S39" i="19" s="1"/>
  <c r="L39" i="19"/>
  <c r="M39" i="19" s="1"/>
  <c r="K39" i="19"/>
  <c r="R38" i="19"/>
  <c r="Q38" i="19"/>
  <c r="S38" i="19" s="1"/>
  <c r="L38" i="19"/>
  <c r="K38" i="19"/>
  <c r="M38" i="19" s="1"/>
  <c r="S37" i="19"/>
  <c r="R37" i="19"/>
  <c r="Q37" i="19"/>
  <c r="L37" i="19"/>
  <c r="K37" i="19"/>
  <c r="M37" i="19" s="1"/>
  <c r="R36" i="19"/>
  <c r="Q36" i="19"/>
  <c r="S36" i="19" s="1"/>
  <c r="L36" i="19"/>
  <c r="K36" i="19"/>
  <c r="M36" i="19" s="1"/>
  <c r="R35" i="19"/>
  <c r="Q35" i="19"/>
  <c r="S35" i="19" s="1"/>
  <c r="L35" i="19"/>
  <c r="M35" i="19" s="1"/>
  <c r="K35" i="19"/>
  <c r="R34" i="19"/>
  <c r="Q34" i="19"/>
  <c r="S34" i="19" s="1"/>
  <c r="L34" i="19"/>
  <c r="K34" i="19"/>
  <c r="M34" i="19" s="1"/>
  <c r="S33" i="19"/>
  <c r="R33" i="19"/>
  <c r="Q33" i="19"/>
  <c r="L33" i="19"/>
  <c r="K33" i="19"/>
  <c r="M33" i="19" s="1"/>
  <c r="R32" i="19"/>
  <c r="Q32" i="19"/>
  <c r="S32" i="19" s="1"/>
  <c r="L32" i="19"/>
  <c r="K32" i="19"/>
  <c r="M32" i="19" s="1"/>
  <c r="R31" i="19"/>
  <c r="Q31" i="19"/>
  <c r="S31" i="19" s="1"/>
  <c r="L31" i="19"/>
  <c r="M31" i="19" s="1"/>
  <c r="K31" i="19"/>
  <c r="R30" i="19"/>
  <c r="Q30" i="19"/>
  <c r="S30" i="19" s="1"/>
  <c r="L30" i="19"/>
  <c r="K30" i="19"/>
  <c r="M30" i="19" s="1"/>
  <c r="S29" i="19"/>
  <c r="R29" i="19"/>
  <c r="Q29" i="19"/>
  <c r="L29" i="19"/>
  <c r="K29" i="19"/>
  <c r="M29" i="19" s="1"/>
  <c r="R28" i="19"/>
  <c r="Q28" i="19"/>
  <c r="S28" i="19" s="1"/>
  <c r="L28" i="19"/>
  <c r="K28" i="19"/>
  <c r="M28" i="19" s="1"/>
  <c r="R27" i="19"/>
  <c r="Q27" i="19"/>
  <c r="S27" i="19" s="1"/>
  <c r="L27" i="19"/>
  <c r="M27" i="19" s="1"/>
  <c r="K27" i="19"/>
  <c r="R26" i="19"/>
  <c r="Q26" i="19"/>
  <c r="S26" i="19" s="1"/>
  <c r="L26" i="19"/>
  <c r="K26" i="19"/>
  <c r="M26" i="19" s="1"/>
  <c r="S25" i="19"/>
  <c r="R25" i="19"/>
  <c r="Q25" i="19"/>
  <c r="L25" i="19"/>
  <c r="K25" i="19"/>
  <c r="M25" i="19" s="1"/>
  <c r="R24" i="19"/>
  <c r="Q24" i="19"/>
  <c r="S24" i="19" s="1"/>
  <c r="L24" i="19"/>
  <c r="K24" i="19"/>
  <c r="M24" i="19" s="1"/>
  <c r="R23" i="19"/>
  <c r="Q23" i="19"/>
  <c r="S23" i="19" s="1"/>
  <c r="L23" i="19"/>
  <c r="M23" i="19" s="1"/>
  <c r="K23" i="19"/>
  <c r="R22" i="19"/>
  <c r="Q22" i="19"/>
  <c r="S22" i="19" s="1"/>
  <c r="L22" i="19"/>
  <c r="K22" i="19"/>
  <c r="M22" i="19" s="1"/>
  <c r="S21" i="19"/>
  <c r="R21" i="19"/>
  <c r="Q21" i="19"/>
  <c r="L21" i="19"/>
  <c r="K21" i="19"/>
  <c r="M21" i="19" s="1"/>
  <c r="R20" i="19"/>
  <c r="Q20" i="19"/>
  <c r="S20" i="19" s="1"/>
  <c r="L20" i="19"/>
  <c r="K20" i="19"/>
  <c r="M20" i="19" s="1"/>
  <c r="R19" i="19"/>
  <c r="Q19" i="19"/>
  <c r="S19" i="19" s="1"/>
  <c r="L19" i="19"/>
  <c r="M19" i="19" s="1"/>
  <c r="K19" i="19"/>
  <c r="R18" i="19"/>
  <c r="Q18" i="19"/>
  <c r="S18" i="19" s="1"/>
  <c r="L18" i="19"/>
  <c r="K18" i="19"/>
  <c r="M18" i="19" s="1"/>
  <c r="S17" i="19"/>
  <c r="R17" i="19"/>
  <c r="Q17" i="19"/>
  <c r="L17" i="19"/>
  <c r="K17" i="19"/>
  <c r="M17" i="19" s="1"/>
  <c r="R16" i="19"/>
  <c r="Q16" i="19"/>
  <c r="S16" i="19" s="1"/>
  <c r="L16" i="19"/>
  <c r="K16" i="19"/>
  <c r="M16" i="19" s="1"/>
  <c r="R15" i="19"/>
  <c r="Q15" i="19"/>
  <c r="S15" i="19" s="1"/>
  <c r="L15" i="19"/>
  <c r="M15" i="19" s="1"/>
  <c r="K15" i="19"/>
  <c r="R14" i="19"/>
  <c r="Q14" i="19"/>
  <c r="S14" i="19" s="1"/>
  <c r="L14" i="19"/>
  <c r="K14" i="19"/>
  <c r="M14" i="19" s="1"/>
  <c r="S13" i="19"/>
  <c r="R13" i="19"/>
  <c r="Q13" i="19"/>
  <c r="L13" i="19"/>
  <c r="K13" i="19"/>
  <c r="M13" i="19" s="1"/>
  <c r="R12" i="19"/>
  <c r="Q12" i="19"/>
  <c r="S12" i="19" s="1"/>
  <c r="L12" i="19"/>
  <c r="K12" i="19"/>
  <c r="M12" i="19" s="1"/>
  <c r="R11" i="19"/>
  <c r="Q11" i="19"/>
  <c r="S11" i="19" s="1"/>
  <c r="L11" i="19"/>
  <c r="M11" i="19" s="1"/>
  <c r="K11" i="19"/>
  <c r="R10" i="19"/>
  <c r="Q10" i="19"/>
  <c r="S10" i="19" s="1"/>
  <c r="L10" i="19"/>
  <c r="K10" i="19"/>
  <c r="M10" i="19" s="1"/>
  <c r="S9" i="19"/>
  <c r="R9" i="19"/>
  <c r="Q9" i="19"/>
  <c r="L9" i="19"/>
  <c r="K9" i="19"/>
  <c r="M9" i="19" s="1"/>
  <c r="R8" i="19"/>
  <c r="Q8" i="19"/>
  <c r="S8" i="19" s="1"/>
  <c r="L8" i="19"/>
  <c r="K8" i="19"/>
  <c r="M8" i="19" s="1"/>
  <c r="R7" i="19"/>
  <c r="Q7" i="19"/>
  <c r="S7" i="19" s="1"/>
  <c r="L7" i="19"/>
  <c r="M7" i="19" s="1"/>
  <c r="K7" i="19"/>
  <c r="R6" i="19"/>
  <c r="Q6" i="19"/>
  <c r="S6" i="19" s="1"/>
  <c r="L6" i="19"/>
  <c r="K6" i="19"/>
  <c r="M6" i="19" s="1"/>
  <c r="S5" i="19"/>
  <c r="R5" i="19"/>
  <c r="Q5" i="19"/>
  <c r="L5" i="19"/>
  <c r="K5" i="19"/>
  <c r="M5" i="19" s="1"/>
  <c r="R4" i="19"/>
  <c r="Q4" i="19"/>
  <c r="S4" i="19" s="1"/>
  <c r="L4" i="19"/>
  <c r="K4" i="19"/>
  <c r="M4" i="19" s="1"/>
  <c r="M41" i="19" l="1"/>
  <c r="M43" i="19"/>
  <c r="D47" i="18" l="1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D7" i="18"/>
  <c r="C7" i="18"/>
  <c r="D6" i="18"/>
  <c r="C6" i="18"/>
  <c r="D5" i="18"/>
  <c r="C5" i="18"/>
  <c r="F14" i="17"/>
  <c r="E14" i="17"/>
  <c r="D14" i="17"/>
  <c r="C14" i="17"/>
  <c r="H13" i="17"/>
  <c r="I13" i="17" s="1"/>
  <c r="F13" i="17"/>
  <c r="B13" i="17"/>
  <c r="I12" i="17"/>
  <c r="H12" i="17"/>
  <c r="F12" i="17"/>
  <c r="B12" i="17"/>
  <c r="H11" i="17"/>
  <c r="I11" i="17" s="1"/>
  <c r="F11" i="17"/>
  <c r="B11" i="17"/>
  <c r="I10" i="17"/>
  <c r="H10" i="17"/>
  <c r="F10" i="17"/>
  <c r="B10" i="17"/>
  <c r="H9" i="17"/>
  <c r="I9" i="17" s="1"/>
  <c r="F9" i="17"/>
  <c r="B9" i="17"/>
  <c r="I8" i="17"/>
  <c r="H8" i="17"/>
  <c r="F8" i="17"/>
  <c r="B8" i="17"/>
  <c r="H7" i="17"/>
  <c r="I7" i="17" s="1"/>
  <c r="F7" i="17"/>
  <c r="B7" i="17"/>
  <c r="I6" i="17"/>
  <c r="H6" i="17"/>
  <c r="F6" i="17"/>
  <c r="B6" i="17"/>
  <c r="H5" i="17"/>
  <c r="I5" i="17" s="1"/>
  <c r="F5" i="17"/>
  <c r="B5" i="17"/>
  <c r="I4" i="17"/>
  <c r="H4" i="17"/>
  <c r="F4" i="17"/>
  <c r="B4" i="17"/>
  <c r="B14" i="17" s="1"/>
  <c r="H8" i="16"/>
  <c r="I8" i="16" s="1"/>
  <c r="H7" i="16"/>
  <c r="I7" i="16" s="1"/>
  <c r="I6" i="16"/>
  <c r="I5" i="16"/>
  <c r="I4" i="16"/>
  <c r="I3" i="16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BB10" i="15"/>
  <c r="BB7" i="15" s="1"/>
  <c r="BA10" i="15"/>
  <c r="AZ10" i="15"/>
  <c r="AY10" i="15"/>
  <c r="AX10" i="15"/>
  <c r="AX7" i="15" s="1"/>
  <c r="AW10" i="15"/>
  <c r="AV10" i="15"/>
  <c r="AV7" i="15" s="1"/>
  <c r="AU10" i="15"/>
  <c r="AT10" i="15"/>
  <c r="AT7" i="15" s="1"/>
  <c r="AS10" i="15"/>
  <c r="AR10" i="15"/>
  <c r="AQ10" i="15"/>
  <c r="AP10" i="15"/>
  <c r="AP7" i="15" s="1"/>
  <c r="AO10" i="15"/>
  <c r="AN10" i="15"/>
  <c r="AN7" i="15" s="1"/>
  <c r="AM10" i="15"/>
  <c r="AL10" i="15"/>
  <c r="AL7" i="15" s="1"/>
  <c r="AK10" i="15"/>
  <c r="AJ10" i="15"/>
  <c r="AI10" i="15"/>
  <c r="AH10" i="15"/>
  <c r="AH7" i="15" s="1"/>
  <c r="AG10" i="15"/>
  <c r="AF10" i="15"/>
  <c r="AF7" i="15" s="1"/>
  <c r="AE10" i="15"/>
  <c r="AD10" i="15"/>
  <c r="AD7" i="15" s="1"/>
  <c r="AC10" i="15"/>
  <c r="AB10" i="15"/>
  <c r="AA10" i="15"/>
  <c r="Z10" i="15"/>
  <c r="Z7" i="15" s="1"/>
  <c r="Y10" i="15"/>
  <c r="X10" i="15"/>
  <c r="X7" i="15" s="1"/>
  <c r="W10" i="15"/>
  <c r="V10" i="15"/>
  <c r="V7" i="15" s="1"/>
  <c r="U10" i="15"/>
  <c r="T10" i="15"/>
  <c r="S10" i="15"/>
  <c r="R10" i="15"/>
  <c r="R7" i="15" s="1"/>
  <c r="Q10" i="15"/>
  <c r="P10" i="15"/>
  <c r="P7" i="15" s="1"/>
  <c r="O10" i="15"/>
  <c r="N10" i="15"/>
  <c r="N7" i="15" s="1"/>
  <c r="M10" i="15"/>
  <c r="L10" i="15"/>
  <c r="K10" i="15"/>
  <c r="J10" i="15"/>
  <c r="J7" i="15" s="1"/>
  <c r="I10" i="15"/>
  <c r="H10" i="15"/>
  <c r="H7" i="15" s="1"/>
  <c r="G10" i="15"/>
  <c r="F10" i="15"/>
  <c r="F7" i="15" s="1"/>
  <c r="E10" i="15"/>
  <c r="D10" i="15"/>
  <c r="C10" i="15"/>
  <c r="B10" i="15"/>
  <c r="AY7" i="15" s="1"/>
  <c r="AE7" i="15"/>
  <c r="W7" i="15"/>
  <c r="U7" i="15"/>
  <c r="O7" i="15"/>
  <c r="M7" i="15"/>
  <c r="G7" i="15"/>
  <c r="E7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L27" i="14"/>
  <c r="J27" i="14"/>
  <c r="D27" i="14"/>
  <c r="B27" i="14"/>
  <c r="Q26" i="14"/>
  <c r="P26" i="14"/>
  <c r="O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Q24" i="14"/>
  <c r="N24" i="14"/>
  <c r="N26" i="14" s="1"/>
  <c r="Q22" i="14"/>
  <c r="N22" i="14"/>
  <c r="Q21" i="14"/>
  <c r="N21" i="14"/>
  <c r="Q20" i="14"/>
  <c r="N20" i="14"/>
  <c r="Q19" i="14"/>
  <c r="N19" i="14"/>
  <c r="Q18" i="14"/>
  <c r="N18" i="14"/>
  <c r="Q17" i="14"/>
  <c r="N17" i="14"/>
  <c r="Q16" i="14"/>
  <c r="N16" i="14"/>
  <c r="Q14" i="14"/>
  <c r="P14" i="14"/>
  <c r="O14" i="14"/>
  <c r="M14" i="14"/>
  <c r="L14" i="14"/>
  <c r="K14" i="14"/>
  <c r="J14" i="14"/>
  <c r="J8" i="14" s="1"/>
  <c r="I14" i="14"/>
  <c r="H14" i="14"/>
  <c r="G14" i="14"/>
  <c r="F14" i="14"/>
  <c r="E14" i="14"/>
  <c r="D14" i="14"/>
  <c r="D8" i="14" s="1"/>
  <c r="C14" i="14"/>
  <c r="B14" i="14"/>
  <c r="B8" i="14" s="1"/>
  <c r="Q13" i="14"/>
  <c r="N13" i="14"/>
  <c r="N7" i="14" s="1"/>
  <c r="Q12" i="14"/>
  <c r="N12" i="14"/>
  <c r="Q11" i="14"/>
  <c r="N11" i="14"/>
  <c r="N5" i="14" s="1"/>
  <c r="Q10" i="14"/>
  <c r="N10" i="14"/>
  <c r="N4" i="14" s="1"/>
  <c r="Q8" i="14"/>
  <c r="P8" i="14"/>
  <c r="O8" i="14"/>
  <c r="M8" i="14"/>
  <c r="L8" i="14"/>
  <c r="I8" i="14"/>
  <c r="H8" i="14"/>
  <c r="G8" i="14"/>
  <c r="F8" i="14"/>
  <c r="E8" i="14"/>
  <c r="C8" i="14"/>
  <c r="Q7" i="14"/>
  <c r="P7" i="14"/>
  <c r="O7" i="14"/>
  <c r="M7" i="14"/>
  <c r="L7" i="14"/>
  <c r="K7" i="14"/>
  <c r="J7" i="14"/>
  <c r="I7" i="14"/>
  <c r="H7" i="14"/>
  <c r="G7" i="14"/>
  <c r="F7" i="14"/>
  <c r="E7" i="14"/>
  <c r="D7" i="14"/>
  <c r="C7" i="14"/>
  <c r="B7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Q5" i="14"/>
  <c r="P5" i="14"/>
  <c r="O5" i="14"/>
  <c r="M5" i="14"/>
  <c r="L5" i="14"/>
  <c r="K5" i="14"/>
  <c r="J5" i="14"/>
  <c r="I5" i="14"/>
  <c r="H5" i="14"/>
  <c r="G5" i="14"/>
  <c r="F5" i="14"/>
  <c r="E5" i="14"/>
  <c r="D5" i="14"/>
  <c r="C5" i="14"/>
  <c r="B5" i="14"/>
  <c r="Q4" i="14"/>
  <c r="P4" i="14"/>
  <c r="P27" i="14" s="1"/>
  <c r="O4" i="14"/>
  <c r="O27" i="14" s="1"/>
  <c r="M4" i="14"/>
  <c r="M27" i="14" s="1"/>
  <c r="L4" i="14"/>
  <c r="K4" i="14"/>
  <c r="K27" i="14" s="1"/>
  <c r="J4" i="14"/>
  <c r="I4" i="14"/>
  <c r="I27" i="14" s="1"/>
  <c r="H4" i="14"/>
  <c r="H27" i="14" s="1"/>
  <c r="G4" i="14"/>
  <c r="G27" i="14" s="1"/>
  <c r="F4" i="14"/>
  <c r="F27" i="14" s="1"/>
  <c r="E4" i="14"/>
  <c r="E27" i="14" s="1"/>
  <c r="D4" i="14"/>
  <c r="C4" i="14"/>
  <c r="C27" i="14" s="1"/>
  <c r="B4" i="14"/>
  <c r="Q27" i="14" l="1"/>
  <c r="N27" i="14"/>
  <c r="D7" i="15"/>
  <c r="L7" i="15"/>
  <c r="T7" i="15"/>
  <c r="AB7" i="15"/>
  <c r="AJ7" i="15"/>
  <c r="AR7" i="15"/>
  <c r="AZ7" i="15"/>
  <c r="AC7" i="15"/>
  <c r="AK7" i="15"/>
  <c r="AS7" i="15"/>
  <c r="BA7" i="15"/>
  <c r="AM7" i="15"/>
  <c r="AU7" i="15"/>
  <c r="N14" i="14"/>
  <c r="N8" i="14" s="1"/>
  <c r="I7" i="15"/>
  <c r="Q7" i="15"/>
  <c r="Y7" i="15"/>
  <c r="AG7" i="15"/>
  <c r="AO7" i="15"/>
  <c r="AW7" i="15"/>
  <c r="B7" i="15"/>
  <c r="C7" i="15"/>
  <c r="K7" i="15"/>
  <c r="S7" i="15"/>
  <c r="AA7" i="15"/>
  <c r="AI7" i="15"/>
  <c r="AQ7" i="15"/>
  <c r="F7" i="7" l="1"/>
  <c r="B8" i="7"/>
  <c r="F11" i="7"/>
  <c r="I15" i="7"/>
  <c r="O15" i="7" s="1"/>
  <c r="B7" i="7" s="1"/>
  <c r="J15" i="7"/>
  <c r="K15" i="7"/>
  <c r="L15" i="7"/>
  <c r="M15" i="7"/>
  <c r="N15" i="7"/>
  <c r="T15" i="7" s="1"/>
  <c r="G7" i="7" s="1"/>
  <c r="P15" i="7"/>
  <c r="C7" i="7" s="1"/>
  <c r="Q15" i="7"/>
  <c r="D7" i="7" s="1"/>
  <c r="S15" i="7"/>
  <c r="I16" i="7"/>
  <c r="J16" i="7"/>
  <c r="P16" i="7" s="1"/>
  <c r="C8" i="7" s="1"/>
  <c r="K16" i="7"/>
  <c r="Q16" i="7" s="1"/>
  <c r="D8" i="7" s="1"/>
  <c r="L16" i="7"/>
  <c r="R16" i="7" s="1"/>
  <c r="E8" i="7" s="1"/>
  <c r="M16" i="7"/>
  <c r="S16" i="7" s="1"/>
  <c r="F8" i="7" s="1"/>
  <c r="N16" i="7"/>
  <c r="O16" i="7"/>
  <c r="T16" i="7"/>
  <c r="G8" i="7" s="1"/>
  <c r="I17" i="7"/>
  <c r="O17" i="7" s="1"/>
  <c r="B9" i="7" s="1"/>
  <c r="J17" i="7"/>
  <c r="K17" i="7"/>
  <c r="L17" i="7"/>
  <c r="M17" i="7"/>
  <c r="N17" i="7"/>
  <c r="T17" i="7" s="1"/>
  <c r="G9" i="7" s="1"/>
  <c r="P17" i="7"/>
  <c r="C9" i="7" s="1"/>
  <c r="Q17" i="7"/>
  <c r="D9" i="7" s="1"/>
  <c r="S17" i="7"/>
  <c r="F9" i="7" s="1"/>
  <c r="I18" i="7"/>
  <c r="J18" i="7"/>
  <c r="P18" i="7" s="1"/>
  <c r="C10" i="7" s="1"/>
  <c r="K18" i="7"/>
  <c r="Q18" i="7" s="1"/>
  <c r="D10" i="7" s="1"/>
  <c r="L18" i="7"/>
  <c r="R18" i="7" s="1"/>
  <c r="E10" i="7" s="1"/>
  <c r="M18" i="7"/>
  <c r="S18" i="7" s="1"/>
  <c r="F10" i="7" s="1"/>
  <c r="N18" i="7"/>
  <c r="O18" i="7"/>
  <c r="B10" i="7" s="1"/>
  <c r="T18" i="7"/>
  <c r="G10" i="7" s="1"/>
  <c r="I19" i="7"/>
  <c r="O19" i="7" s="1"/>
  <c r="B11" i="7" s="1"/>
  <c r="J19" i="7"/>
  <c r="K19" i="7"/>
  <c r="L19" i="7"/>
  <c r="M19" i="7"/>
  <c r="N19" i="7"/>
  <c r="T19" i="7" s="1"/>
  <c r="G11" i="7" s="1"/>
  <c r="P19" i="7"/>
  <c r="C11" i="7" s="1"/>
  <c r="Q19" i="7"/>
  <c r="D11" i="7" s="1"/>
  <c r="S19" i="7"/>
  <c r="R19" i="7" l="1"/>
  <c r="E11" i="7" s="1"/>
  <c r="R17" i="7"/>
  <c r="E9" i="7" s="1"/>
  <c r="R15" i="7"/>
  <c r="E7" i="7" s="1"/>
  <c r="B4" i="1" l="1"/>
  <c r="E5" i="1"/>
  <c r="B5" i="1" s="1"/>
  <c r="B6" i="1"/>
  <c r="E6" i="1"/>
  <c r="B7" i="1"/>
  <c r="E7" i="1"/>
  <c r="B8" i="1"/>
  <c r="E8" i="1"/>
  <c r="E9" i="1"/>
  <c r="B9" i="1" s="1"/>
  <c r="B10" i="1"/>
  <c r="E10" i="1"/>
  <c r="B11" i="1"/>
  <c r="E11" i="1"/>
  <c r="B12" i="1"/>
  <c r="E12" i="1"/>
  <c r="E13" i="1"/>
  <c r="B13" i="1" s="1"/>
  <c r="B14" i="1"/>
  <c r="E14" i="1"/>
  <c r="B15" i="1"/>
  <c r="E15" i="1"/>
  <c r="B16" i="1"/>
  <c r="E16" i="1"/>
  <c r="E17" i="1"/>
  <c r="B17" i="1" s="1"/>
  <c r="B18" i="1"/>
  <c r="E18" i="1"/>
  <c r="B19" i="1"/>
  <c r="E19" i="1"/>
  <c r="B20" i="1"/>
  <c r="E20" i="1"/>
  <c r="E21" i="1"/>
  <c r="B21" i="1" s="1"/>
  <c r="B22" i="1"/>
  <c r="E22" i="1"/>
  <c r="B23" i="1"/>
  <c r="E23" i="1"/>
  <c r="B24" i="1"/>
  <c r="E24" i="1"/>
  <c r="E25" i="1"/>
  <c r="B25" i="1" s="1"/>
  <c r="B26" i="1"/>
  <c r="E26" i="1"/>
  <c r="B27" i="1"/>
  <c r="E27" i="1"/>
  <c r="B28" i="1"/>
  <c r="E28" i="1"/>
  <c r="E29" i="1"/>
  <c r="B29" i="1" s="1"/>
  <c r="B30" i="1"/>
  <c r="E30" i="1"/>
  <c r="B31" i="1"/>
  <c r="E31" i="1"/>
  <c r="B32" i="1"/>
  <c r="E32" i="1"/>
  <c r="E33" i="1"/>
  <c r="B33" i="1" s="1"/>
  <c r="B34" i="1"/>
  <c r="E34" i="1"/>
  <c r="B35" i="1"/>
  <c r="E35" i="1"/>
  <c r="B36" i="1"/>
  <c r="E36" i="1"/>
  <c r="E37" i="1"/>
  <c r="B37" i="1" s="1"/>
  <c r="B38" i="1"/>
  <c r="E38" i="1"/>
  <c r="B39" i="1"/>
  <c r="E39" i="1"/>
  <c r="B40" i="1"/>
  <c r="E40" i="1"/>
  <c r="E41" i="1"/>
  <c r="B41" i="1" s="1"/>
  <c r="B42" i="1"/>
  <c r="E42" i="1"/>
  <c r="B43" i="1"/>
  <c r="E43" i="1"/>
  <c r="B44" i="1"/>
  <c r="E44" i="1"/>
  <c r="E45" i="1"/>
  <c r="B45" i="1" s="1"/>
  <c r="B46" i="1"/>
  <c r="E46" i="1"/>
  <c r="B47" i="1"/>
  <c r="E47" i="1"/>
  <c r="B48" i="1"/>
  <c r="E48" i="1"/>
  <c r="E49" i="1"/>
  <c r="B49" i="1" s="1"/>
  <c r="B50" i="1"/>
  <c r="E50" i="1"/>
  <c r="B51" i="1"/>
  <c r="E51" i="1"/>
  <c r="B52" i="1"/>
  <c r="E52" i="1"/>
  <c r="E53" i="1"/>
  <c r="B53" i="1" s="1"/>
  <c r="B54" i="1"/>
  <c r="E54" i="1"/>
  <c r="B55" i="1"/>
  <c r="E55" i="1"/>
  <c r="B56" i="1"/>
  <c r="E56" i="1"/>
  <c r="E57" i="1"/>
  <c r="B57" i="1" s="1"/>
  <c r="B58" i="1"/>
  <c r="E58" i="1"/>
  <c r="B59" i="1"/>
  <c r="E59" i="1"/>
  <c r="B60" i="1"/>
  <c r="E60" i="1"/>
  <c r="E61" i="1"/>
  <c r="B61" i="1" s="1"/>
  <c r="B62" i="1"/>
  <c r="E62" i="1"/>
  <c r="B63" i="1"/>
  <c r="E63" i="1"/>
  <c r="B64" i="1"/>
  <c r="E64" i="1"/>
  <c r="E65" i="1"/>
  <c r="B65" i="1" s="1"/>
  <c r="B66" i="1"/>
  <c r="E66" i="1"/>
  <c r="B67" i="1"/>
  <c r="E67" i="1"/>
  <c r="B68" i="1"/>
  <c r="E68" i="1"/>
  <c r="E69" i="1"/>
  <c r="B69" i="1" s="1"/>
  <c r="B70" i="1"/>
  <c r="E70" i="1"/>
  <c r="B71" i="1"/>
  <c r="E71" i="1"/>
  <c r="B72" i="1"/>
  <c r="E72" i="1"/>
  <c r="E73" i="1"/>
  <c r="B73" i="1" s="1"/>
  <c r="B74" i="1"/>
  <c r="E74" i="1"/>
  <c r="B75" i="1"/>
  <c r="E75" i="1"/>
  <c r="B76" i="1"/>
  <c r="E76" i="1"/>
  <c r="E77" i="1"/>
  <c r="B77" i="1" s="1"/>
  <c r="B78" i="1"/>
  <c r="E78" i="1"/>
  <c r="B79" i="1"/>
  <c r="E79" i="1"/>
  <c r="B80" i="1"/>
  <c r="E80" i="1"/>
  <c r="E81" i="1"/>
  <c r="B81" i="1" s="1"/>
  <c r="B82" i="1"/>
  <c r="E82" i="1"/>
  <c r="B83" i="1"/>
  <c r="E83" i="1"/>
  <c r="B84" i="1"/>
  <c r="E84" i="1"/>
  <c r="E85" i="1"/>
  <c r="B85" i="1" s="1"/>
  <c r="B86" i="1"/>
  <c r="E86" i="1"/>
  <c r="B87" i="1"/>
  <c r="E87" i="1"/>
  <c r="B88" i="1"/>
  <c r="E88" i="1"/>
  <c r="E89" i="1"/>
  <c r="B89" i="1" s="1"/>
  <c r="B90" i="1"/>
  <c r="E90" i="1"/>
  <c r="B91" i="1"/>
  <c r="E91" i="1"/>
  <c r="B92" i="1"/>
  <c r="E92" i="1"/>
  <c r="E93" i="1"/>
  <c r="B93" i="1" s="1"/>
  <c r="B94" i="1"/>
  <c r="E94" i="1"/>
  <c r="B95" i="1"/>
  <c r="E95" i="1"/>
  <c r="B96" i="1"/>
  <c r="E96" i="1"/>
  <c r="E97" i="1"/>
  <c r="B97" i="1" s="1"/>
  <c r="B98" i="1"/>
  <c r="E98" i="1"/>
  <c r="B99" i="1"/>
  <c r="E99" i="1"/>
  <c r="B100" i="1"/>
  <c r="E100" i="1"/>
  <c r="E101" i="1"/>
  <c r="B101" i="1" s="1"/>
  <c r="B102" i="1"/>
  <c r="E102" i="1"/>
  <c r="B103" i="1"/>
  <c r="E103" i="1"/>
  <c r="B104" i="1"/>
  <c r="E104" i="1"/>
  <c r="E105" i="1"/>
  <c r="B105" i="1" s="1"/>
  <c r="B106" i="1"/>
  <c r="E106" i="1"/>
  <c r="B107" i="1"/>
  <c r="E107" i="1"/>
  <c r="B108" i="1"/>
  <c r="E108" i="1"/>
  <c r="E109" i="1"/>
  <c r="B109" i="1" s="1"/>
  <c r="B110" i="1"/>
  <c r="E110" i="1"/>
  <c r="B111" i="1"/>
  <c r="E111" i="1"/>
  <c r="B112" i="1"/>
  <c r="E112" i="1"/>
  <c r="C114" i="1"/>
  <c r="C115" i="1"/>
</calcChain>
</file>

<file path=xl/sharedStrings.xml><?xml version="1.0" encoding="utf-8"?>
<sst xmlns="http://schemas.openxmlformats.org/spreadsheetml/2006/main" count="560" uniqueCount="277">
  <si>
    <t>Source: StatsSA GDP quarterly figures. Excel spreadsheet downloaded www.statssa.gov.za March 2020</t>
  </si>
  <si>
    <t>Annualised quarterly change</t>
  </si>
  <si>
    <t>Constant 2010 rand, seasonally adjusted and annualised</t>
  </si>
  <si>
    <t>Actual quarterly change</t>
  </si>
  <si>
    <t>Percentage change in the GDP, quarter on quarter (not annualised)</t>
  </si>
  <si>
    <t>Source: Statistics South Africa. GDP quarterly figures. Excel spreadsheet downloaded www.statssa.gov.za</t>
  </si>
  <si>
    <t>Personal 
services</t>
  </si>
  <si>
    <t>Government  
services</t>
  </si>
  <si>
    <t>Business 
services</t>
  </si>
  <si>
    <t>Trade</t>
  </si>
  <si>
    <t>Construction 
and utilities</t>
  </si>
  <si>
    <t>Manufac-
turing</t>
  </si>
  <si>
    <t>Mining</t>
  </si>
  <si>
    <t>Agriculture</t>
  </si>
  <si>
    <t>Q1 2021</t>
  </si>
  <si>
    <t>Q4 2020</t>
  </si>
  <si>
    <t>Q3 2020</t>
  </si>
  <si>
    <t>Q2 2020</t>
  </si>
  <si>
    <t>Q1 2020</t>
  </si>
  <si>
    <t>Seasonally adjusted figures, not annualised</t>
  </si>
  <si>
    <t>Constant 2010 Prices</t>
  </si>
  <si>
    <t>Change in Gross Domestic Product by sector</t>
  </si>
  <si>
    <t>food/
beverages</t>
  </si>
  <si>
    <t>7a</t>
  </si>
  <si>
    <t>metals</t>
  </si>
  <si>
    <t>5b</t>
  </si>
  <si>
    <t>chemicals/
plastics</t>
  </si>
  <si>
    <t>transport 
equipment</t>
  </si>
  <si>
    <t>4a</t>
  </si>
  <si>
    <t>wood and paper</t>
  </si>
  <si>
    <t>7b</t>
  </si>
  <si>
    <t>machinery</t>
  </si>
  <si>
    <t>5a</t>
  </si>
  <si>
    <t>petroleum 
refineries</t>
  </si>
  <si>
    <t>Glass/non-
metallic mineral</t>
  </si>
  <si>
    <t>Clothing/textiles/
leather/footwear</t>
  </si>
  <si>
    <t>11b</t>
  </si>
  <si>
    <t>Other manu-
facturing</t>
  </si>
  <si>
    <t>electrical 
machinery</t>
  </si>
  <si>
    <t>4b</t>
  </si>
  <si>
    <t xml:space="preserve">publishing </t>
  </si>
  <si>
    <t>ICT</t>
  </si>
  <si>
    <t>11a</t>
  </si>
  <si>
    <t>Furniture</t>
  </si>
  <si>
    <t>Manufacturing sales</t>
  </si>
  <si>
    <t>Mining production and sales</t>
  </si>
  <si>
    <t>Production volume: January = 100, seasonally adjusted;</t>
  </si>
  <si>
    <t>sales in constant R100 millions, not seasonally adjusted (reflated to December 2020 using CPI)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</si>
  <si>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</si>
  <si>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</si>
  <si>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</si>
  <si>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</si>
  <si>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</si>
  <si>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</si>
  <si>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</si>
  <si>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</si>
  <si>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</si>
  <si>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</si>
  <si>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</si>
  <si>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Coal</t>
  </si>
  <si>
    <t>value</t>
  </si>
  <si>
    <t>volume</t>
  </si>
  <si>
    <t>Gold</t>
  </si>
  <si>
    <t>Iron ore</t>
  </si>
  <si>
    <t>PGMs</t>
  </si>
  <si>
    <t>Jan 2021</t>
  </si>
  <si>
    <t>Jan 2020</t>
  </si>
  <si>
    <t>average, 2020</t>
  </si>
  <si>
    <t>average, 2019</t>
  </si>
  <si>
    <t>domestic</t>
  </si>
  <si>
    <t>exports</t>
  </si>
  <si>
    <t>Auto export and domestic sales</t>
  </si>
  <si>
    <t>Less: Imports of goods and services</t>
  </si>
  <si>
    <t>Exports of goods and services</t>
  </si>
  <si>
    <t>Gross fixed capital formation</t>
  </si>
  <si>
    <t>Final consumption expenditure by general government</t>
  </si>
  <si>
    <t>Final consumption expenditure by households</t>
  </si>
  <si>
    <t>rebased</t>
  </si>
  <si>
    <t>deflator</t>
  </si>
  <si>
    <t>Imports</t>
  </si>
  <si>
    <t>Exports</t>
  </si>
  <si>
    <t>Investment</t>
  </si>
  <si>
    <t>Government</t>
  </si>
  <si>
    <t>Households</t>
  </si>
  <si>
    <t>R million</t>
  </si>
  <si>
    <t>2021 - Q1</t>
  </si>
  <si>
    <t>2020 - Q4</t>
  </si>
  <si>
    <t>2020 - Q3</t>
  </si>
  <si>
    <t>2020 - Q2</t>
  </si>
  <si>
    <t>2020 - Q1</t>
  </si>
  <si>
    <t>2019 - Q4</t>
  </si>
  <si>
    <t>Current prices, seas adj, annualised</t>
  </si>
  <si>
    <t>Constant 2010 prices, seasonally adjusted, annualised</t>
  </si>
  <si>
    <t>Source: StatsSA GDP quarterly figures. Excel spreadsheet downloaded from www.statssa.gov.za in March 2020</t>
  </si>
  <si>
    <t>Private business enterprises</t>
  </si>
  <si>
    <t>Public corporations</t>
  </si>
  <si>
    <t>General government</t>
  </si>
  <si>
    <t>Investment as % of GDP (right axis)</t>
  </si>
  <si>
    <t>Public corporations (R bns)</t>
  </si>
  <si>
    <t>General government (R bns)</t>
  </si>
  <si>
    <t>Private business enterprises (R bns)</t>
  </si>
  <si>
    <t>constant (2019) R bns</t>
  </si>
  <si>
    <t>Deflated using implicit deflator rebased to first quarter 2021</t>
  </si>
  <si>
    <t>Constant, seasonally adjusted R bns.</t>
  </si>
  <si>
    <t>Investment by type of organisation</t>
  </si>
  <si>
    <t>current rand, seas adj, annualised</t>
  </si>
  <si>
    <t>Total</t>
  </si>
  <si>
    <t>constant 2010 rand, seasonally adjusted, annualised</t>
  </si>
  <si>
    <t>SOC</t>
  </si>
  <si>
    <t>Q4 2019</t>
  </si>
  <si>
    <t>Q3 2019</t>
  </si>
  <si>
    <t>Q2 2019</t>
  </si>
  <si>
    <t>Q1 2019</t>
  </si>
  <si>
    <t>Q4 2018</t>
  </si>
  <si>
    <t>Reflated using implicit deflator rebased to Q3 2020</t>
  </si>
  <si>
    <t>constant 2020 R bns</t>
  </si>
  <si>
    <t>Investment by type of investor</t>
  </si>
  <si>
    <t>Manufacturing sales in billions of constant (2020) rand</t>
  </si>
  <si>
    <t>deflated with CPI, rebased to March 2020</t>
  </si>
  <si>
    <t>Calculated from StatsSA. Manufacturing production and sales. P3401.2</t>
  </si>
  <si>
    <t>Total revenue</t>
  </si>
  <si>
    <t xml:space="preserve">Total expenditure </t>
  </si>
  <si>
    <t>GDP</t>
  </si>
  <si>
    <t>commodity boom</t>
  </si>
  <si>
    <t>post commodity boom</t>
  </si>
  <si>
    <t>pandemic</t>
  </si>
  <si>
    <t>Expenditure on GDP</t>
  </si>
  <si>
    <t>Growth in GDP and government revenues and expenditure</t>
  </si>
  <si>
    <t>Employment in the first quarter</t>
  </si>
  <si>
    <t>Q4 2020 to Q1 2021</t>
  </si>
  <si>
    <t>Manufacturing</t>
  </si>
  <si>
    <t>Utilities</t>
  </si>
  <si>
    <t>Construction</t>
  </si>
  <si>
    <t>Other (right axis)</t>
  </si>
  <si>
    <t>Other</t>
  </si>
  <si>
    <t>Transport</t>
  </si>
  <si>
    <t>Business services</t>
  </si>
  <si>
    <t>Community and social services</t>
  </si>
  <si>
    <t>Private households</t>
  </si>
  <si>
    <t>total ex mining and ag</t>
  </si>
  <si>
    <t>total real</t>
  </si>
  <si>
    <t>StatsSA. QLFS trends. Downloaded from www.statssa.gov.za in February 2020</t>
  </si>
  <si>
    <t>Indices of employment in manufacturing and the rest of the economy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</si>
  <si>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</si>
  <si>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</si>
  <si>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</si>
  <si>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</si>
  <si>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</si>
  <si>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</si>
  <si>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</si>
  <si>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</si>
  <si>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</si>
  <si>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</si>
  <si>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</si>
  <si>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</si>
  <si>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</si>
  <si>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</si>
  <si>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</si>
  <si>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</si>
  <si>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</si>
  <si>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</si>
  <si>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</si>
  <si>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</si>
  <si>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</si>
  <si>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</si>
  <si>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</si>
  <si>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</si>
  <si>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</si>
  <si>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</si>
  <si>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</si>
  <si>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</si>
  <si>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</si>
  <si>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</si>
  <si>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</si>
  <si>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</si>
  <si>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</si>
  <si>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</si>
  <si>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Oct-Dec 2016</t>
  </si>
  <si>
    <t>Jan-Mar 2018</t>
  </si>
  <si>
    <t>Apr-June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</si>
  <si>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</si>
  <si>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</si>
  <si>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</si>
  <si>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</si>
  <si>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</si>
  <si>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</si>
  <si>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</si>
  <si>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</si>
  <si>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</si>
  <si>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</si>
  <si>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Base</t>
  </si>
  <si>
    <t>Total ex manufacturing</t>
  </si>
  <si>
    <t>Q 2021</t>
  </si>
  <si>
    <t>% change, Q1 2020 to Q1 2021 (right axis)</t>
  </si>
  <si>
    <t>formal</t>
  </si>
  <si>
    <t>managers/profes-
sionals/technicians</t>
  </si>
  <si>
    <t>clerical/service
 workers</t>
  </si>
  <si>
    <t>skilled produc-
tion workers</t>
  </si>
  <si>
    <t>elementary
 workers</t>
  </si>
  <si>
    <t>informal</t>
  </si>
  <si>
    <t>total</t>
  </si>
  <si>
    <t>Employment by manufacturing industry</t>
  </si>
  <si>
    <t>Q1 2020 to Q1 2021</t>
  </si>
  <si>
    <t>Food, beverages, 
and tobacco</t>
  </si>
  <si>
    <t>Clothing, textiles 
and footwear</t>
  </si>
  <si>
    <t>Wood and paper</t>
  </si>
  <si>
    <t>Publishing 
and printing</t>
  </si>
  <si>
    <t>Petroleum, chemicals, 
rubber, and plastic</t>
  </si>
  <si>
    <t>Glass and non-
metallic minerals</t>
  </si>
  <si>
    <t>Metals and 
metal products</t>
  </si>
  <si>
    <t>Machinery, equipment
 and appliances</t>
  </si>
  <si>
    <t>Transport 
equipment</t>
  </si>
  <si>
    <t>Furniture, 
and other</t>
  </si>
  <si>
    <t>Mining employment</t>
  </si>
  <si>
    <t>Employed</t>
  </si>
  <si>
    <t>* Figure revised</t>
  </si>
  <si>
    <t xml:space="preserve">StatsSA. Quarterly Employment Statistics. </t>
  </si>
  <si>
    <t>Employment by main occupation and sector</t>
  </si>
  <si>
    <t xml:space="preserve">Source: StatsSA. QLFS database for relevant quarters. </t>
  </si>
  <si>
    <t>Balance of trade</t>
  </si>
  <si>
    <t>Nominal rand</t>
  </si>
  <si>
    <t>Billions of constant rand - deflated with CPI</t>
  </si>
  <si>
    <t>Billions of current U.S. dollars</t>
  </si>
  <si>
    <t>CPI</t>
  </si>
  <si>
    <t>Rands/dollar</t>
  </si>
  <si>
    <t>Balance</t>
  </si>
  <si>
    <t>Q1</t>
  </si>
  <si>
    <t>Q2</t>
  </si>
  <si>
    <t>Q3</t>
  </si>
  <si>
    <t>Q4</t>
  </si>
  <si>
    <t>Source: SARS monthly data</t>
  </si>
  <si>
    <t>constant rand</t>
  </si>
  <si>
    <t>USD</t>
  </si>
  <si>
    <t>Trade by manufacturing subsector</t>
  </si>
  <si>
    <t>Value (billions)</t>
  </si>
  <si>
    <t>% change from Q1 2020</t>
  </si>
  <si>
    <t>Change in Billions</t>
  </si>
  <si>
    <t>Industry</t>
  </si>
  <si>
    <t xml:space="preserve"> Rand </t>
  </si>
  <si>
    <t>Rand</t>
  </si>
  <si>
    <t>EXPORTS</t>
  </si>
  <si>
    <t>Food and beverages</t>
  </si>
  <si>
    <t>Clothing and footwear</t>
  </si>
  <si>
    <t>Wood products</t>
  </si>
  <si>
    <t>Paper and publishing</t>
  </si>
  <si>
    <t>Chemicals, rubber, plastic</t>
  </si>
  <si>
    <t>Glass and non-metallic mineral products</t>
  </si>
  <si>
    <t>Metals and metal products</t>
  </si>
  <si>
    <t>Machinery and appliances</t>
  </si>
  <si>
    <t>Transport equipment</t>
  </si>
  <si>
    <t>IMPORTS</t>
  </si>
  <si>
    <t>Exports by sector, first quarter</t>
  </si>
  <si>
    <t>billions of constant rand, deflated by CPI, and billions of US dollars</t>
  </si>
  <si>
    <t>Q1 2011 = 100</t>
  </si>
  <si>
    <t>iron ore</t>
  </si>
  <si>
    <t>coal</t>
  </si>
  <si>
    <t>gold</t>
  </si>
  <si>
    <t>platinum</t>
  </si>
  <si>
    <t>unit price in US$</t>
  </si>
  <si>
    <t>quantity</t>
  </si>
  <si>
    <t>Mining exports - indices of unit price in US$ and quantity (Q1 2011 = 100)</t>
  </si>
  <si>
    <t>Imports by sector, first quarter</t>
  </si>
  <si>
    <t>Net profit or loss before tax as % of carrying value of assets</t>
  </si>
  <si>
    <t>Year to fourth quarter</t>
  </si>
  <si>
    <t>Net profit or loss before taxation</t>
  </si>
  <si>
    <t>Carrying value of fixed assets as at the end of quarter</t>
  </si>
  <si>
    <t>mining</t>
  </si>
  <si>
    <t>manufacturing</t>
  </si>
  <si>
    <t>construction</t>
  </si>
  <si>
    <t>other</t>
  </si>
  <si>
    <t>Source: StatsSA, Quarterly Financial Statistics</t>
  </si>
  <si>
    <t>constant R bns</t>
  </si>
  <si>
    <t>Return on assets by sector</t>
  </si>
  <si>
    <t>Net profit or loss before taxation in manufacturing and mining</t>
  </si>
  <si>
    <t>Reflated with CPI</t>
  </si>
  <si>
    <t>Source: Naamsa via Quantec EasyData</t>
  </si>
  <si>
    <t>Transport &amp; 
telecoms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</si>
</sst>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0.0%"/>
    <numFmt numFmtId="165" formatCode="#########0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[$-409]mmm\-yy;@"/>
    <numFmt numFmtId="170" formatCode="_-* #,##0_-;\-* #,##0_-;_-* &quot;-&quot;??_-;_-@_-"/>
    <numFmt numFmtId="171" formatCode="_-* #,##0.0_-;\-* #,##0.0_-;_-* &quot;-&quot;??_-;_-@_-"/>
    <numFmt numFmtId="172" formatCode="_(* #,##0_);_(* \(#,##0\);_(* &quot;-&quot;??_);_(@_)"/>
    <numFmt numFmtId="178" formatCode="_ * #,##0.00_ ;_ * \-#,##0.00_ ;_ * &quot;-&quot;??_ ;_ @_ "/>
    <numFmt numFmtId="179" formatCode="###0"/>
    <numFmt numFmtId="180" formatCode="0.0"/>
    <numFmt numFmtId="182" formatCode="_ * #,##0.000_ ;_ * \-#,##0.00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name val="Arial Narrow"/>
    </font>
    <font>
      <sz val="10"/>
      <name val="Arial Narrow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sz val="9"/>
      <color indexed="6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4" fillId="0" borderId="0" applyFont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178" fontId="22" fillId="0" borderId="0" applyFont="0" applyFill="0" applyBorder="0" applyAlignment="0" applyProtection="0"/>
    <xf numFmtId="0" fontId="22" fillId="0" borderId="0"/>
    <xf numFmtId="166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164" fontId="0" fillId="0" borderId="0" xfId="2" applyNumberFormat="1" applyFont="1"/>
    <xf numFmtId="165" fontId="0" fillId="0" borderId="1" xfId="0" applyNumberFormat="1" applyFont="1" applyFill="1" applyBorder="1" applyAlignment="1">
      <alignment horizontal="right"/>
    </xf>
    <xf numFmtId="164" fontId="4" fillId="0" borderId="0" xfId="2" applyNumberFormat="1" applyFont="1"/>
    <xf numFmtId="164" fontId="0" fillId="0" borderId="0" xfId="0" applyNumberFormat="1"/>
    <xf numFmtId="167" fontId="5" fillId="0" borderId="0" xfId="3" applyNumberFormat="1" applyFont="1"/>
    <xf numFmtId="0" fontId="5" fillId="0" borderId="0" xfId="0" applyFont="1"/>
    <xf numFmtId="0" fontId="0" fillId="0" borderId="0" xfId="0" applyAlignment="1">
      <alignment horizontal="fill"/>
    </xf>
    <xf numFmtId="10" fontId="0" fillId="0" borderId="0" xfId="0" applyNumberFormat="1"/>
    <xf numFmtId="10" fontId="0" fillId="0" borderId="0" xfId="2" applyNumberFormat="1" applyFont="1"/>
    <xf numFmtId="0" fontId="0" fillId="0" borderId="0" xfId="0" applyAlignment="1">
      <alignment horizontal="justify"/>
    </xf>
    <xf numFmtId="168" fontId="5" fillId="0" borderId="0" xfId="3" applyNumberFormat="1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168" fontId="5" fillId="0" borderId="0" xfId="3" applyNumberFormat="1" applyFont="1"/>
    <xf numFmtId="3" fontId="8" fillId="0" borderId="0" xfId="0" applyNumberFormat="1" applyFont="1" applyAlignment="1">
      <alignment vertical="center"/>
    </xf>
    <xf numFmtId="164" fontId="0" fillId="0" borderId="0" xfId="2" applyNumberFormat="1" applyFont="1" applyAlignment="1">
      <alignment wrapText="1"/>
    </xf>
    <xf numFmtId="0" fontId="0" fillId="0" borderId="0" xfId="0" applyAlignment="1">
      <alignment wrapText="1"/>
    </xf>
    <xf numFmtId="16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7" fontId="0" fillId="0" borderId="0" xfId="1" applyNumberFormat="1" applyFont="1" applyAlignment="1">
      <alignment wrapText="1"/>
    </xf>
    <xf numFmtId="170" fontId="0" fillId="0" borderId="0" xfId="1" applyNumberFormat="1" applyFont="1" applyFill="1"/>
    <xf numFmtId="167" fontId="0" fillId="0" borderId="0" xfId="1" applyNumberFormat="1" applyFont="1" applyFill="1"/>
    <xf numFmtId="170" fontId="0" fillId="0" borderId="0" xfId="1" applyNumberFormat="1" applyFont="1"/>
    <xf numFmtId="171" fontId="0" fillId="0" borderId="0" xfId="1" applyNumberFormat="1" applyFont="1" applyFill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 indent="1"/>
    </xf>
    <xf numFmtId="9" fontId="0" fillId="0" borderId="0" xfId="2" applyFont="1"/>
    <xf numFmtId="0" fontId="6" fillId="0" borderId="0" xfId="0" applyFont="1" applyFill="1"/>
    <xf numFmtId="170" fontId="0" fillId="0" borderId="0" xfId="0" applyNumberFormat="1"/>
    <xf numFmtId="43" fontId="0" fillId="0" borderId="0" xfId="0" applyNumberFormat="1"/>
    <xf numFmtId="170" fontId="0" fillId="0" borderId="0" xfId="1" quotePrefix="1" applyNumberFormat="1" applyFont="1"/>
    <xf numFmtId="171" fontId="9" fillId="0" borderId="0" xfId="1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167" fontId="0" fillId="0" borderId="0" xfId="3" applyNumberFormat="1" applyFont="1"/>
    <xf numFmtId="0" fontId="0" fillId="0" borderId="0" xfId="3" applyNumberFormat="1" applyFont="1"/>
    <xf numFmtId="3" fontId="9" fillId="0" borderId="0" xfId="0" applyNumberFormat="1" applyFont="1" applyAlignment="1">
      <alignment vertical="center"/>
    </xf>
    <xf numFmtId="9" fontId="9" fillId="0" borderId="0" xfId="2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9" fontId="9" fillId="0" borderId="0" xfId="2" applyFont="1" applyAlignment="1">
      <alignment vertical="center"/>
    </xf>
    <xf numFmtId="9" fontId="0" fillId="0" borderId="0" xfId="3" applyNumberFormat="1" applyFont="1"/>
    <xf numFmtId="167" fontId="0" fillId="0" borderId="0" xfId="3" applyNumberFormat="1" applyFont="1" applyAlignment="1">
      <alignment wrapText="1"/>
    </xf>
    <xf numFmtId="0" fontId="0" fillId="0" borderId="0" xfId="3" applyNumberFormat="1" applyFont="1" applyAlignment="1">
      <alignment wrapText="1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7" fontId="0" fillId="0" borderId="0" xfId="3" applyNumberFormat="1" applyFont="1" applyAlignment="1">
      <alignment horizontal="center"/>
    </xf>
    <xf numFmtId="0" fontId="0" fillId="0" borderId="0" xfId="0" applyFill="1"/>
    <xf numFmtId="17" fontId="0" fillId="0" borderId="0" xfId="0" applyNumberFormat="1" applyFill="1"/>
    <xf numFmtId="167" fontId="2" fillId="0" borderId="0" xfId="1" applyNumberFormat="1" applyFont="1" applyFill="1" applyAlignment="1">
      <alignment horizontal="right"/>
    </xf>
    <xf numFmtId="167" fontId="0" fillId="0" borderId="0" xfId="1" applyNumberFormat="1" applyFont="1" applyFill="1" applyAlignment="1">
      <alignment wrapText="1"/>
    </xf>
    <xf numFmtId="167" fontId="0" fillId="0" borderId="0" xfId="1" applyNumberFormat="1" applyFont="1" applyFill="1" applyAlignment="1">
      <alignment horizontal="left" indent="1"/>
    </xf>
    <xf numFmtId="167" fontId="0" fillId="0" borderId="0" xfId="0" applyNumberFormat="1" applyFill="1" applyAlignment="1">
      <alignment wrapText="1"/>
    </xf>
    <xf numFmtId="167" fontId="0" fillId="0" borderId="0" xfId="0" applyNumberFormat="1" applyFont="1" applyFill="1" applyBorder="1" applyAlignment="1">
      <alignment horizontal="left" indent="1"/>
    </xf>
    <xf numFmtId="167" fontId="1" fillId="0" borderId="0" xfId="1" applyNumberFormat="1" applyFont="1" applyFill="1" applyAlignment="1">
      <alignment horizontal="right"/>
    </xf>
    <xf numFmtId="9" fontId="0" fillId="0" borderId="0" xfId="2" applyFont="1" applyFill="1"/>
    <xf numFmtId="0" fontId="14" fillId="0" borderId="0" xfId="5"/>
    <xf numFmtId="172" fontId="0" fillId="0" borderId="0" xfId="6" applyNumberFormat="1" applyFont="1"/>
    <xf numFmtId="0" fontId="15" fillId="0" borderId="0" xfId="5" applyFont="1"/>
    <xf numFmtId="9" fontId="0" fillId="0" borderId="0" xfId="7" applyFont="1"/>
    <xf numFmtId="167" fontId="3" fillId="0" borderId="0" xfId="8" applyNumberFormat="1" applyFont="1"/>
    <xf numFmtId="0" fontId="0" fillId="0" borderId="0" xfId="0" applyFont="1"/>
    <xf numFmtId="167" fontId="0" fillId="0" borderId="0" xfId="8" applyNumberFormat="1" applyFont="1"/>
    <xf numFmtId="167" fontId="2" fillId="0" borderId="0" xfId="8" applyNumberFormat="1" applyFont="1"/>
    <xf numFmtId="0" fontId="2" fillId="0" borderId="0" xfId="8" applyNumberFormat="1" applyFont="1"/>
    <xf numFmtId="0" fontId="16" fillId="0" borderId="0" xfId="8" applyNumberFormat="1" applyFont="1" applyAlignment="1">
      <alignment horizontal="left" indent="1"/>
    </xf>
    <xf numFmtId="1" fontId="2" fillId="0" borderId="0" xfId="8" applyNumberFormat="1" applyFont="1"/>
    <xf numFmtId="0" fontId="2" fillId="0" borderId="0" xfId="8" applyNumberFormat="1" applyFont="1" applyFill="1"/>
    <xf numFmtId="0" fontId="2" fillId="0" borderId="0" xfId="0" applyFont="1"/>
    <xf numFmtId="1" fontId="3" fillId="0" borderId="0" xfId="8" applyNumberFormat="1" applyFont="1" applyFill="1"/>
    <xf numFmtId="167" fontId="3" fillId="0" borderId="0" xfId="8" applyNumberFormat="1" applyFont="1" applyFill="1"/>
    <xf numFmtId="1" fontId="0" fillId="0" borderId="0" xfId="8" applyNumberFormat="1" applyFont="1"/>
    <xf numFmtId="1" fontId="0" fillId="0" borderId="0" xfId="8" applyNumberFormat="1" applyFont="1" applyAlignment="1">
      <alignment horizontal="right"/>
    </xf>
    <xf numFmtId="168" fontId="0" fillId="0" borderId="0" xfId="8" applyNumberFormat="1" applyFont="1"/>
    <xf numFmtId="9" fontId="0" fillId="0" borderId="0" xfId="8" applyNumberFormat="1" applyFont="1"/>
    <xf numFmtId="167" fontId="0" fillId="0" borderId="0" xfId="8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70" fontId="3" fillId="0" borderId="0" xfId="8" applyNumberFormat="1" applyFont="1" applyFill="1"/>
    <xf numFmtId="170" fontId="0" fillId="0" borderId="0" xfId="8" applyNumberFormat="1" applyFont="1"/>
    <xf numFmtId="170" fontId="0" fillId="0" borderId="0" xfId="8" applyNumberFormat="1" applyFont="1" applyAlignment="1">
      <alignment horizontal="right"/>
    </xf>
    <xf numFmtId="1" fontId="17" fillId="0" borderId="0" xfId="0" applyNumberFormat="1" applyFont="1" applyFill="1" applyBorder="1"/>
    <xf numFmtId="170" fontId="1" fillId="0" borderId="0" xfId="1" applyNumberFormat="1" applyFont="1"/>
    <xf numFmtId="167" fontId="18" fillId="0" borderId="0" xfId="8" applyNumberFormat="1" applyFont="1"/>
    <xf numFmtId="1" fontId="3" fillId="0" borderId="0" xfId="8" applyNumberFormat="1" applyFont="1"/>
    <xf numFmtId="170" fontId="3" fillId="0" borderId="0" xfId="9" applyNumberFormat="1" applyFont="1" applyFill="1"/>
    <xf numFmtId="170" fontId="0" fillId="0" borderId="0" xfId="9" applyNumberFormat="1" applyFont="1" applyFill="1"/>
    <xf numFmtId="167" fontId="3" fillId="0" borderId="0" xfId="0" applyNumberFormat="1" applyFont="1"/>
    <xf numFmtId="1" fontId="3" fillId="0" borderId="0" xfId="0" applyNumberFormat="1" applyFont="1"/>
    <xf numFmtId="1" fontId="0" fillId="0" borderId="0" xfId="0" applyNumberFormat="1"/>
    <xf numFmtId="0" fontId="19" fillId="0" borderId="0" xfId="0" applyFont="1"/>
    <xf numFmtId="3" fontId="0" fillId="0" borderId="0" xfId="0" applyNumberFormat="1"/>
    <xf numFmtId="167" fontId="0" fillId="0" borderId="0" xfId="0" applyNumberFormat="1"/>
    <xf numFmtId="3" fontId="3" fillId="0" borderId="0" xfId="0" applyNumberFormat="1" applyFont="1"/>
    <xf numFmtId="9" fontId="0" fillId="0" borderId="0" xfId="2" applyNumberFormat="1" applyFont="1"/>
    <xf numFmtId="0" fontId="0" fillId="0" borderId="0" xfId="8" applyNumberFormat="1" applyFont="1"/>
    <xf numFmtId="0" fontId="0" fillId="0" borderId="0" xfId="0" applyBorder="1"/>
    <xf numFmtId="3" fontId="8" fillId="0" borderId="0" xfId="0" applyNumberFormat="1" applyFont="1" applyBorder="1" applyAlignment="1">
      <alignment horizontal="right" vertical="center"/>
    </xf>
    <xf numFmtId="1" fontId="17" fillId="0" borderId="0" xfId="0" applyNumberFormat="1" applyFont="1" applyFill="1" applyBorder="1" applyAlignment="1"/>
    <xf numFmtId="167" fontId="0" fillId="0" borderId="0" xfId="8" applyNumberFormat="1" applyFont="1" applyBorder="1"/>
    <xf numFmtId="167" fontId="0" fillId="0" borderId="0" xfId="8" applyNumberFormat="1" applyFont="1" applyAlignment="1"/>
    <xf numFmtId="164" fontId="0" fillId="0" borderId="0" xfId="2" applyNumberFormat="1" applyFont="1" applyBorder="1"/>
    <xf numFmtId="164" fontId="0" fillId="0" borderId="0" xfId="2" applyNumberFormat="1" applyFont="1" applyAlignment="1"/>
    <xf numFmtId="9" fontId="3" fillId="0" borderId="0" xfId="2" applyFont="1"/>
    <xf numFmtId="170" fontId="17" fillId="0" borderId="0" xfId="1" applyNumberFormat="1" applyFont="1" applyFill="1" applyBorder="1"/>
    <xf numFmtId="170" fontId="0" fillId="0" borderId="0" xfId="1" applyNumberFormat="1" applyFont="1" applyAlignment="1">
      <alignment wrapText="1"/>
    </xf>
    <xf numFmtId="171" fontId="17" fillId="0" borderId="0" xfId="1" applyNumberFormat="1" applyFont="1" applyFill="1" applyBorder="1"/>
    <xf numFmtId="171" fontId="0" fillId="0" borderId="0" xfId="1" applyNumberFormat="1" applyFont="1"/>
    <xf numFmtId="179" fontId="20" fillId="0" borderId="2" xfId="10" applyNumberFormat="1" applyFont="1" applyBorder="1" applyAlignment="1">
      <alignment horizontal="right" vertical="top"/>
    </xf>
    <xf numFmtId="0" fontId="16" fillId="0" borderId="0" xfId="0" applyFont="1"/>
    <xf numFmtId="0" fontId="0" fillId="0" borderId="0" xfId="0" applyFill="1" applyAlignment="1"/>
    <xf numFmtId="1" fontId="3" fillId="0" borderId="0" xfId="0" applyNumberFormat="1" applyFont="1" applyFill="1" applyAlignment="1"/>
    <xf numFmtId="167" fontId="0" fillId="0" borderId="0" xfId="8" applyNumberFormat="1" applyFont="1" applyFill="1" applyAlignment="1"/>
    <xf numFmtId="167" fontId="21" fillId="0" borderId="0" xfId="9" applyNumberFormat="1" applyFont="1" applyFill="1" applyBorder="1" applyAlignment="1"/>
    <xf numFmtId="180" fontId="0" fillId="0" borderId="0" xfId="0" applyNumberFormat="1"/>
    <xf numFmtId="1" fontId="3" fillId="0" borderId="0" xfId="2" applyNumberFormat="1" applyFont="1" applyAlignment="1"/>
    <xf numFmtId="179" fontId="17" fillId="0" borderId="0" xfId="0" applyNumberFormat="1" applyFont="1" applyFill="1" applyBorder="1"/>
    <xf numFmtId="1" fontId="3" fillId="0" borderId="0" xfId="0" applyNumberFormat="1" applyFont="1" applyAlignment="1"/>
    <xf numFmtId="0" fontId="0" fillId="0" borderId="0" xfId="0" applyFill="1" applyAlignment="1">
      <alignment horizontal="left"/>
    </xf>
    <xf numFmtId="179" fontId="0" fillId="0" borderId="0" xfId="0" applyNumberFormat="1"/>
    <xf numFmtId="0" fontId="18" fillId="0" borderId="0" xfId="11" applyNumberFormat="1"/>
    <xf numFmtId="167" fontId="0" fillId="0" borderId="0" xfId="8" applyNumberFormat="1" applyFont="1" applyFill="1"/>
    <xf numFmtId="167" fontId="21" fillId="0" borderId="0" xfId="12" applyNumberFormat="1" applyFont="1" applyFill="1" applyBorder="1"/>
    <xf numFmtId="0" fontId="21" fillId="0" borderId="0" xfId="13" applyFont="1" applyFill="1" applyBorder="1"/>
    <xf numFmtId="0" fontId="21" fillId="0" borderId="0" xfId="12" applyNumberFormat="1" applyFont="1" applyFill="1" applyBorder="1"/>
    <xf numFmtId="2" fontId="0" fillId="0" borderId="0" xfId="12" applyNumberFormat="1" applyFont="1" applyFill="1"/>
    <xf numFmtId="167" fontId="21" fillId="0" borderId="0" xfId="13" applyNumberFormat="1" applyFont="1" applyFill="1" applyBorder="1"/>
    <xf numFmtId="168" fontId="21" fillId="0" borderId="0" xfId="13" applyNumberFormat="1" applyFont="1" applyFill="1" applyBorder="1"/>
    <xf numFmtId="2" fontId="22" fillId="0" borderId="0" xfId="13" applyNumberFormat="1" applyFill="1"/>
    <xf numFmtId="2" fontId="22" fillId="0" borderId="0" xfId="13" applyNumberFormat="1" applyFont="1" applyFill="1"/>
    <xf numFmtId="2" fontId="1" fillId="0" borderId="0" xfId="12" applyNumberFormat="1" applyFont="1" applyFill="1"/>
    <xf numFmtId="2" fontId="1" fillId="0" borderId="0" xfId="12" applyNumberFormat="1" applyFont="1" applyFill="1" applyBorder="1"/>
    <xf numFmtId="1" fontId="21" fillId="0" borderId="0" xfId="13" applyNumberFormat="1" applyFont="1" applyFill="1" applyBorder="1"/>
    <xf numFmtId="2" fontId="21" fillId="0" borderId="0" xfId="13" applyNumberFormat="1" applyFont="1" applyFill="1" applyBorder="1"/>
    <xf numFmtId="0" fontId="21" fillId="0" borderId="0" xfId="13" applyNumberFormat="1" applyFont="1" applyFill="1" applyBorder="1"/>
    <xf numFmtId="180" fontId="21" fillId="0" borderId="0" xfId="13" applyNumberFormat="1" applyFont="1" applyFill="1" applyBorder="1"/>
    <xf numFmtId="0" fontId="23" fillId="0" borderId="0" xfId="0" applyFont="1"/>
    <xf numFmtId="0" fontId="2" fillId="0" borderId="0" xfId="0" applyFont="1" applyFill="1"/>
    <xf numFmtId="0" fontId="24" fillId="0" borderId="0" xfId="0" applyFont="1"/>
    <xf numFmtId="168" fontId="2" fillId="0" borderId="0" xfId="8" applyNumberFormat="1" applyFont="1" applyAlignment="1">
      <alignment horizontal="center"/>
    </xf>
    <xf numFmtId="168" fontId="2" fillId="0" borderId="0" xfId="8" applyNumberFormat="1" applyFont="1"/>
    <xf numFmtId="168" fontId="2" fillId="0" borderId="0" xfId="8" applyNumberFormat="1" applyFont="1" applyAlignment="1">
      <alignment horizontal="center"/>
    </xf>
    <xf numFmtId="2" fontId="3" fillId="0" borderId="0" xfId="0" applyNumberFormat="1" applyFont="1"/>
    <xf numFmtId="180" fontId="3" fillId="0" borderId="0" xfId="0" applyNumberFormat="1" applyFont="1"/>
    <xf numFmtId="164" fontId="3" fillId="0" borderId="0" xfId="2" applyNumberFormat="1" applyFont="1"/>
    <xf numFmtId="178" fontId="3" fillId="0" borderId="0" xfId="8" applyNumberFormat="1" applyFont="1"/>
    <xf numFmtId="178" fontId="3" fillId="0" borderId="0" xfId="8" applyFont="1"/>
    <xf numFmtId="168" fontId="2" fillId="0" borderId="3" xfId="8" applyNumberFormat="1" applyFont="1" applyBorder="1"/>
    <xf numFmtId="2" fontId="3" fillId="0" borderId="3" xfId="0" applyNumberFormat="1" applyFont="1" applyBorder="1"/>
    <xf numFmtId="168" fontId="3" fillId="0" borderId="3" xfId="8" applyNumberFormat="1" applyFont="1" applyBorder="1"/>
    <xf numFmtId="9" fontId="3" fillId="0" borderId="3" xfId="2" applyFont="1" applyBorder="1"/>
    <xf numFmtId="168" fontId="0" fillId="0" borderId="0" xfId="8" applyNumberFormat="1" applyFont="1" applyBorder="1"/>
    <xf numFmtId="178" fontId="3" fillId="0" borderId="0" xfId="8" applyFont="1" applyBorder="1"/>
    <xf numFmtId="168" fontId="3" fillId="0" borderId="0" xfId="8" applyNumberFormat="1" applyFont="1" applyBorder="1"/>
    <xf numFmtId="164" fontId="3" fillId="0" borderId="0" xfId="2" applyNumberFormat="1" applyFont="1" applyBorder="1"/>
    <xf numFmtId="2" fontId="3" fillId="0" borderId="0" xfId="0" applyNumberFormat="1" applyFont="1" applyBorder="1"/>
    <xf numFmtId="178" fontId="3" fillId="0" borderId="0" xfId="8" applyNumberFormat="1" applyFont="1" applyBorder="1"/>
    <xf numFmtId="168" fontId="3" fillId="0" borderId="0" xfId="8" applyNumberFormat="1" applyFont="1"/>
    <xf numFmtId="178" fontId="0" fillId="0" borderId="0" xfId="0" applyNumberFormat="1"/>
    <xf numFmtId="170" fontId="3" fillId="0" borderId="0" xfId="1" applyNumberFormat="1" applyFont="1"/>
    <xf numFmtId="0" fontId="3" fillId="0" borderId="0" xfId="0" applyNumberFormat="1" applyFont="1"/>
    <xf numFmtId="0" fontId="3" fillId="0" borderId="0" xfId="1" applyNumberFormat="1" applyFont="1"/>
    <xf numFmtId="0" fontId="6" fillId="0" borderId="0" xfId="11" applyFont="1"/>
    <xf numFmtId="0" fontId="18" fillId="0" borderId="0" xfId="11"/>
    <xf numFmtId="167" fontId="16" fillId="0" borderId="0" xfId="8" applyNumberFormat="1" applyFont="1"/>
    <xf numFmtId="167" fontId="3" fillId="0" borderId="0" xfId="8" applyNumberFormat="1" applyFont="1" applyAlignment="1">
      <alignment horizontal="center" wrapText="1"/>
    </xf>
    <xf numFmtId="167" fontId="1" fillId="0" borderId="0" xfId="8" applyNumberFormat="1" applyFont="1" applyFill="1"/>
    <xf numFmtId="0" fontId="0" fillId="0" borderId="0" xfId="8" applyNumberFormat="1" applyFont="1" applyFill="1"/>
    <xf numFmtId="167" fontId="0" fillId="0" borderId="0" xfId="8" quotePrefix="1" applyNumberFormat="1" applyFont="1" applyFill="1"/>
    <xf numFmtId="164" fontId="0" fillId="0" borderId="0" xfId="2" applyNumberFormat="1" applyFont="1" applyFill="1"/>
    <xf numFmtId="0" fontId="18" fillId="0" borderId="0" xfId="11" applyFill="1" applyBorder="1"/>
    <xf numFmtId="167" fontId="3" fillId="0" borderId="0" xfId="8" quotePrefix="1" applyNumberFormat="1" applyFont="1"/>
    <xf numFmtId="167" fontId="2" fillId="0" borderId="0" xfId="8" quotePrefix="1" applyNumberFormat="1" applyFont="1"/>
    <xf numFmtId="167" fontId="0" fillId="3" borderId="0" xfId="8" applyNumberFormat="1" applyFont="1" applyFill="1"/>
    <xf numFmtId="167" fontId="2" fillId="3" borderId="0" xfId="8" quotePrefix="1" applyNumberFormat="1" applyFont="1" applyFill="1"/>
    <xf numFmtId="0" fontId="2" fillId="0" borderId="0" xfId="8" quotePrefix="1" applyNumberFormat="1" applyFont="1"/>
    <xf numFmtId="0" fontId="18" fillId="3" borderId="0" xfId="11" applyFill="1"/>
    <xf numFmtId="167" fontId="0" fillId="0" borderId="0" xfId="8" quotePrefix="1" applyNumberFormat="1" applyFont="1"/>
    <xf numFmtId="3" fontId="18" fillId="0" borderId="0" xfId="11" applyNumberFormat="1" applyFill="1" applyBorder="1"/>
    <xf numFmtId="1" fontId="18" fillId="0" borderId="0" xfId="11" applyNumberFormat="1"/>
    <xf numFmtId="178" fontId="0" fillId="0" borderId="0" xfId="8" quotePrefix="1" applyNumberFormat="1" applyFont="1"/>
    <xf numFmtId="182" fontId="0" fillId="0" borderId="0" xfId="8" quotePrefix="1" applyNumberFormat="1" applyFont="1"/>
    <xf numFmtId="9" fontId="0" fillId="3" borderId="0" xfId="2" quotePrefix="1" applyFont="1" applyFill="1"/>
    <xf numFmtId="3" fontId="18" fillId="0" borderId="0" xfId="11" applyNumberFormat="1" applyFont="1" applyFill="1" applyBorder="1"/>
    <xf numFmtId="172" fontId="18" fillId="0" borderId="0" xfId="14" quotePrefix="1" applyNumberFormat="1" applyFont="1"/>
    <xf numFmtId="0" fontId="6" fillId="0" borderId="0" xfId="0" applyNumberFormat="1" applyFont="1"/>
  </cellXfs>
  <cellStyles count="15">
    <cellStyle name="20% - Accent1" xfId="4" builtinId="30" hidden="1"/>
    <cellStyle name="Comma" xfId="1" builtinId="3"/>
    <cellStyle name="Comma 2" xfId="3"/>
    <cellStyle name="Comma 2 3" xfId="8"/>
    <cellStyle name="Comma 3" xfId="6"/>
    <cellStyle name="Comma 3 2" xfId="14"/>
    <cellStyle name="Comma 7" xfId="12"/>
    <cellStyle name="Comma 9" xfId="9"/>
    <cellStyle name="Normal" xfId="0" builtinId="0"/>
    <cellStyle name="Normal 2" xfId="5"/>
    <cellStyle name="Normal 8 2" xfId="11"/>
    <cellStyle name="Normal 9" xfId="13"/>
    <cellStyle name="Normal_Sheet1_1" xfId="10"/>
    <cellStyle name="Percent" xfId="2" builtinId="5"/>
    <cellStyle name="Percent 2" xfId="7"/>
  </cellStyles>
  <dxfs count="9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Quarterly GDP growth'!$B$3</c:f>
              <c:strCache>
                <c:ptCount val="1"/>
                <c:pt idx="0">
                  <c:v>Actual quarterly change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'1. Quarterly GDP growth'!$A$4:$A$112</c:f>
              <c:numCache>
                <c:formatCode>General</c:formatCode>
                <c:ptCount val="109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</c:numCache>
            </c:numRef>
          </c:cat>
          <c:val>
            <c:numRef>
              <c:f>'1. Quarterly GDP growth'!$B$4:$B$112</c:f>
              <c:numCache>
                <c:formatCode>0.0%</c:formatCode>
                <c:ptCount val="109"/>
                <c:pt idx="0">
                  <c:v>-5.0037543810244056E-4</c:v>
                </c:pt>
                <c:pt idx="1">
                  <c:v>9.7565843331155477E-3</c:v>
                </c:pt>
                <c:pt idx="2">
                  <c:v>1.1245145875966589E-2</c:v>
                </c:pt>
                <c:pt idx="3">
                  <c:v>1.8582983840178091E-2</c:v>
                </c:pt>
                <c:pt idx="4">
                  <c:v>2.4994739461348114E-3</c:v>
                </c:pt>
                <c:pt idx="5">
                  <c:v>2.8748138294714121E-3</c:v>
                </c:pt>
                <c:pt idx="6">
                  <c:v>6.6346528809462235E-3</c:v>
                </c:pt>
                <c:pt idx="7">
                  <c:v>3.3636360976436741E-3</c:v>
                </c:pt>
                <c:pt idx="8">
                  <c:v>1.852499660273188E-2</c:v>
                </c:pt>
                <c:pt idx="9">
                  <c:v>1.1913584255213827E-2</c:v>
                </c:pt>
                <c:pt idx="10">
                  <c:v>1.1914846565305171E-2</c:v>
                </c:pt>
                <c:pt idx="11">
                  <c:v>9.3816956640266902E-3</c:v>
                </c:pt>
                <c:pt idx="12">
                  <c:v>4.6421795462883164E-3</c:v>
                </c:pt>
                <c:pt idx="13">
                  <c:v>6.2740936412364334E-3</c:v>
                </c:pt>
                <c:pt idx="14">
                  <c:v>9.9426185469431161E-4</c:v>
                </c:pt>
                <c:pt idx="15">
                  <c:v>1.3812660576273394E-4</c:v>
                </c:pt>
                <c:pt idx="16">
                  <c:v>2.6270537268398009E-3</c:v>
                </c:pt>
                <c:pt idx="17">
                  <c:v>1.414254334074716E-3</c:v>
                </c:pt>
                <c:pt idx="18">
                  <c:v>-2.1903504855179667E-3</c:v>
                </c:pt>
                <c:pt idx="19">
                  <c:v>9.6284064544760462E-4</c:v>
                </c:pt>
                <c:pt idx="20">
                  <c:v>9.6107385070816065E-3</c:v>
                </c:pt>
                <c:pt idx="21">
                  <c:v>7.9588957093028601E-3</c:v>
                </c:pt>
                <c:pt idx="22">
                  <c:v>1.0918957840878374E-2</c:v>
                </c:pt>
                <c:pt idx="23">
                  <c:v>1.0999838166667164E-2</c:v>
                </c:pt>
                <c:pt idx="24">
                  <c:v>1.1688393411539488E-2</c:v>
                </c:pt>
                <c:pt idx="25">
                  <c:v>9.1998741684722329E-3</c:v>
                </c:pt>
                <c:pt idx="26">
                  <c:v>9.9039730316425878E-3</c:v>
                </c:pt>
                <c:pt idx="27">
                  <c:v>8.5095722253147876E-3</c:v>
                </c:pt>
                <c:pt idx="28">
                  <c:v>6.1451218382775341E-3</c:v>
                </c:pt>
                <c:pt idx="29">
                  <c:v>4.9970096094293925E-3</c:v>
                </c:pt>
                <c:pt idx="30">
                  <c:v>2.6574806735824019E-3</c:v>
                </c:pt>
                <c:pt idx="31">
                  <c:v>7.6932022008342482E-3</c:v>
                </c:pt>
                <c:pt idx="32">
                  <c:v>1.0859990214854287E-2</c:v>
                </c:pt>
                <c:pt idx="33">
                  <c:v>1.2688607200023627E-2</c:v>
                </c:pt>
                <c:pt idx="34">
                  <c:v>1.1318278134637705E-2</c:v>
                </c:pt>
                <c:pt idx="35">
                  <c:v>8.3199121704340406E-3</c:v>
                </c:pt>
                <c:pt idx="36">
                  <c:v>6.3476891543696734E-3</c:v>
                </c:pt>
                <c:pt idx="37">
                  <c:v>4.8837440379221331E-3</c:v>
                </c:pt>
                <c:pt idx="38">
                  <c:v>5.4268969571396042E-3</c:v>
                </c:pt>
                <c:pt idx="39">
                  <c:v>5.7693477545617267E-3</c:v>
                </c:pt>
                <c:pt idx="40">
                  <c:v>1.5137792758620927E-2</c:v>
                </c:pt>
                <c:pt idx="41">
                  <c:v>1.3974480614202811E-2</c:v>
                </c:pt>
                <c:pt idx="42">
                  <c:v>1.6351156135631983E-2</c:v>
                </c:pt>
                <c:pt idx="43">
                  <c:v>1.0679320086723454E-2</c:v>
                </c:pt>
                <c:pt idx="44">
                  <c:v>1.0166048582257448E-2</c:v>
                </c:pt>
                <c:pt idx="45">
                  <c:v>1.7945531524176106E-2</c:v>
                </c:pt>
                <c:pt idx="46">
                  <c:v>1.3636227821061331E-2</c:v>
                </c:pt>
                <c:pt idx="47">
                  <c:v>6.6935546518245292E-3</c:v>
                </c:pt>
                <c:pt idx="48">
                  <c:v>1.7571723602183953E-2</c:v>
                </c:pt>
                <c:pt idx="49">
                  <c:v>1.4202440816502238E-2</c:v>
                </c:pt>
                <c:pt idx="50">
                  <c:v>1.3811494066304553E-2</c:v>
                </c:pt>
                <c:pt idx="51">
                  <c:v>1.3828169460476936E-2</c:v>
                </c:pt>
                <c:pt idx="52">
                  <c:v>1.6236668072191929E-2</c:v>
                </c:pt>
                <c:pt idx="53">
                  <c:v>8.1955633322816634E-3</c:v>
                </c:pt>
                <c:pt idx="54">
                  <c:v>1.1719344438867685E-2</c:v>
                </c:pt>
                <c:pt idx="55">
                  <c:v>1.4170782144657501E-2</c:v>
                </c:pt>
                <c:pt idx="56">
                  <c:v>4.200088433545357E-3</c:v>
                </c:pt>
                <c:pt idx="57">
                  <c:v>1.2208898110870114E-2</c:v>
                </c:pt>
                <c:pt idx="58">
                  <c:v>2.3893574840387899E-3</c:v>
                </c:pt>
                <c:pt idx="59">
                  <c:v>-5.692462107890095E-3</c:v>
                </c:pt>
                <c:pt idx="60">
                  <c:v>-1.5555387027129886E-2</c:v>
                </c:pt>
                <c:pt idx="61">
                  <c:v>-3.4321203407682299E-3</c:v>
                </c:pt>
                <c:pt idx="62">
                  <c:v>2.3190804156123512E-3</c:v>
                </c:pt>
                <c:pt idx="63">
                  <c:v>6.6697508186199794E-3</c:v>
                </c:pt>
                <c:pt idx="64">
                  <c:v>1.138297115276532E-2</c:v>
                </c:pt>
                <c:pt idx="65">
                  <c:v>6.8224369209151092E-3</c:v>
                </c:pt>
                <c:pt idx="66">
                  <c:v>1.1117478992437979E-2</c:v>
                </c:pt>
                <c:pt idx="67">
                  <c:v>1.0697965294457656E-2</c:v>
                </c:pt>
                <c:pt idx="68">
                  <c:v>9.5045655193879419E-3</c:v>
                </c:pt>
                <c:pt idx="69">
                  <c:v>5.7495169786434541E-3</c:v>
                </c:pt>
                <c:pt idx="70">
                  <c:v>2.9824618233837974E-3</c:v>
                </c:pt>
                <c:pt idx="71">
                  <c:v>7.6220534955915298E-3</c:v>
                </c:pt>
                <c:pt idx="72">
                  <c:v>4.0008368109192283E-3</c:v>
                </c:pt>
                <c:pt idx="73">
                  <c:v>8.9770362836656403E-3</c:v>
                </c:pt>
                <c:pt idx="74">
                  <c:v>2.9905428237682052E-3</c:v>
                </c:pt>
                <c:pt idx="75">
                  <c:v>4.3531471054831794E-3</c:v>
                </c:pt>
                <c:pt idx="76">
                  <c:v>4.1413633485312129E-3</c:v>
                </c:pt>
                <c:pt idx="77">
                  <c:v>1.0600076734053276E-2</c:v>
                </c:pt>
                <c:pt idx="78">
                  <c:v>4.5909751263382148E-3</c:v>
                </c:pt>
                <c:pt idx="79">
                  <c:v>1.2879818011360955E-2</c:v>
                </c:pt>
                <c:pt idx="80">
                  <c:v>-3.9009293603420314E-3</c:v>
                </c:pt>
                <c:pt idx="81">
                  <c:v>2.4420422558701915E-3</c:v>
                </c:pt>
                <c:pt idx="82">
                  <c:v>6.3747393735047453E-3</c:v>
                </c:pt>
                <c:pt idx="83">
                  <c:v>1.0860248839266617E-2</c:v>
                </c:pt>
                <c:pt idx="84">
                  <c:v>4.2523942008494409E-3</c:v>
                </c:pt>
                <c:pt idx="85">
                  <c:v>-5.9114274612812601E-3</c:v>
                </c:pt>
                <c:pt idx="86">
                  <c:v>-1.0029534782740601E-4</c:v>
                </c:pt>
                <c:pt idx="87">
                  <c:v>1.0307405333938036E-3</c:v>
                </c:pt>
                <c:pt idx="88">
                  <c:v>-2.4541804192879102E-3</c:v>
                </c:pt>
                <c:pt idx="89">
                  <c:v>7.8887853552405129E-3</c:v>
                </c:pt>
                <c:pt idx="90">
                  <c:v>2.2319116617552925E-3</c:v>
                </c:pt>
                <c:pt idx="91">
                  <c:v>7.416226867711373E-4</c:v>
                </c:pt>
                <c:pt idx="92">
                  <c:v>-6.4313069431998215E-4</c:v>
                </c:pt>
                <c:pt idx="93">
                  <c:v>7.3102510956379874E-3</c:v>
                </c:pt>
                <c:pt idx="94">
                  <c:v>6.9224568003167786E-3</c:v>
                </c:pt>
                <c:pt idx="95">
                  <c:v>8.5036410506786897E-3</c:v>
                </c:pt>
                <c:pt idx="96">
                  <c:v>-6.8310561297731942E-3</c:v>
                </c:pt>
                <c:pt idx="97">
                  <c:v>-1.3119261097106483E-3</c:v>
                </c:pt>
                <c:pt idx="98">
                  <c:v>6.4895733356229446E-3</c:v>
                </c:pt>
                <c:pt idx="99">
                  <c:v>3.40712809053767E-3</c:v>
                </c:pt>
                <c:pt idx="100">
                  <c:v>-8.0396254426896574E-3</c:v>
                </c:pt>
                <c:pt idx="101">
                  <c:v>8.1671072462909944E-3</c:v>
                </c:pt>
                <c:pt idx="102">
                  <c:v>-2.0957912915383625E-3</c:v>
                </c:pt>
                <c:pt idx="103">
                  <c:v>-3.6287930349054864E-3</c:v>
                </c:pt>
                <c:pt idx="104">
                  <c:v>-4.4062974576011271E-3</c:v>
                </c:pt>
                <c:pt idx="105">
                  <c:v>-0.16626354021440526</c:v>
                </c:pt>
                <c:pt idx="106">
                  <c:v>0.13729306470105573</c:v>
                </c:pt>
                <c:pt idx="107">
                  <c:v>1.4305117902277065E-2</c:v>
                </c:pt>
                <c:pt idx="108">
                  <c:v>1.1343259172673203E-2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3-46FA-B156-4A4A9077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33"/>
        <c:axId val="175649536"/>
        <c:axId val="175651072"/>
      </c:barChart>
      <c:catAx>
        <c:axId val="1756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175651072"/>
        <c:crosses val="autoZero"/>
        <c:auto val="1"/>
        <c:lblAlgn val="ctr"/>
        <c:lblOffset val="100"/>
        <c:noMultiLvlLbl val="0"/>
      </c:catAx>
      <c:valAx>
        <c:axId val="175651072"/>
        <c:scaling>
          <c:orientation val="minMax"/>
          <c:max val="0.14000000000000001"/>
          <c:min val="-0.1800000000000000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5649536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 Budget rel GDP'!$C$6</c:f>
              <c:strCache>
                <c:ptCount val="1"/>
                <c:pt idx="0">
                  <c:v>Total revenue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8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multiLvlStrRef>
              <c:f>'8. Budget rel GDP'!$A$7:$B$26</c:f>
              <c:multiLvlStrCache>
                <c:ptCount val="20"/>
                <c:lvl>
                  <c:pt idx="0">
                    <c:v>2002</c:v>
                  </c:pt>
                  <c:pt idx="1">
                    <c:v>2003</c:v>
                  </c:pt>
                  <c:pt idx="2">
                    <c:v>2004</c:v>
                  </c:pt>
                  <c:pt idx="3">
                    <c:v>2005</c:v>
                  </c:pt>
                  <c:pt idx="4">
                    <c:v>2006</c:v>
                  </c:pt>
                  <c:pt idx="5">
                    <c:v>2007</c:v>
                  </c:pt>
                  <c:pt idx="6">
                    <c:v>2008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2011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</c:lvl>
                <c:lvl>
                  <c:pt idx="0">
                    <c:v>commodity boom</c:v>
                  </c:pt>
                  <c:pt idx="10">
                    <c:v>post commodity boom</c:v>
                  </c:pt>
                  <c:pt idx="18">
                    <c:v>pandemic</c:v>
                  </c:pt>
                </c:lvl>
              </c:multiLvlStrCache>
            </c:multiLvlStrRef>
          </c:cat>
          <c:val>
            <c:numRef>
              <c:f>'8. Budget rel GDP'!$C$7:$C$26</c:f>
              <c:numCache>
                <c:formatCode>0%</c:formatCode>
                <c:ptCount val="20"/>
                <c:pt idx="0">
                  <c:v>5.9260439605166582E-2</c:v>
                </c:pt>
                <c:pt idx="1">
                  <c:v>-1.3930018638602437E-2</c:v>
                </c:pt>
                <c:pt idx="2">
                  <c:v>5.6507846139999707E-2</c:v>
                </c:pt>
                <c:pt idx="3">
                  <c:v>0.19009148964738709</c:v>
                </c:pt>
                <c:pt idx="4">
                  <c:v>0.12544970344637485</c:v>
                </c:pt>
                <c:pt idx="5">
                  <c:v>0.12308330615788643</c:v>
                </c:pt>
                <c:pt idx="6">
                  <c:v>3.3149385878097126E-2</c:v>
                </c:pt>
                <c:pt idx="7">
                  <c:v>-0.14163784274458302</c:v>
                </c:pt>
                <c:pt idx="8">
                  <c:v>5.0022317072936806E-2</c:v>
                </c:pt>
                <c:pt idx="9">
                  <c:v>5.424652356951043E-2</c:v>
                </c:pt>
                <c:pt idx="10">
                  <c:v>3.1063486128757312E-2</c:v>
                </c:pt>
                <c:pt idx="11">
                  <c:v>4.6128505418494559E-2</c:v>
                </c:pt>
                <c:pt idx="12">
                  <c:v>2.7117068206242489E-2</c:v>
                </c:pt>
                <c:pt idx="13">
                  <c:v>5.0824300088446961E-2</c:v>
                </c:pt>
                <c:pt idx="14">
                  <c:v>1.6499803217632447E-2</c:v>
                </c:pt>
                <c:pt idx="15">
                  <c:v>-1.0793013612344415E-2</c:v>
                </c:pt>
                <c:pt idx="16">
                  <c:v>4.4794352427546258E-3</c:v>
                </c:pt>
                <c:pt idx="17">
                  <c:v>1.6604082407857712E-2</c:v>
                </c:pt>
                <c:pt idx="18">
                  <c:v>-0.14638126140704399</c:v>
                </c:pt>
                <c:pt idx="19">
                  <c:v>8.0863892074758859E-2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B32-407B-93D9-5C78EF0C8879}"/>
            </c:ext>
          </c:extLst>
        </c:ser>
        <c:ser>
          <c:idx val="1"/>
          <c:order val="1"/>
          <c:tx>
            <c:strRef>
              <c:f>'8. Budget rel GDP'!$D$6</c:f>
              <c:strCache>
                <c:ptCount val="1"/>
                <c:pt idx="0">
                  <c:v>Total expenditure </c:v>
                </c:pt>
              </c:strCache>
            </c:strRef>
          </c:tx>
          <c:spPr>
            <a:ln w="22225">
              <a:solidFill>
                <a:srgbClr val="ED7D31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ED7D31">
                  <a:lumMod val="75000"/>
                </a:srgbClr>
              </a:solidFill>
              <a:ln>
                <a:solidFill>
                  <a:srgbClr val="ED7D31">
                    <a:lumMod val="50000"/>
                  </a:srgbClr>
                </a:solidFill>
              </a:ln>
            </c:spPr>
          </c:marker>
          <c:cat>
            <c:multiLvlStrRef>
              <c:f>'8. Budget rel GDP'!$A$7:$B$26</c:f>
              <c:multiLvlStrCache>
                <c:ptCount val="20"/>
                <c:lvl>
                  <c:pt idx="0">
                    <c:v>2002</c:v>
                  </c:pt>
                  <c:pt idx="1">
                    <c:v>2003</c:v>
                  </c:pt>
                  <c:pt idx="2">
                    <c:v>2004</c:v>
                  </c:pt>
                  <c:pt idx="3">
                    <c:v>2005</c:v>
                  </c:pt>
                  <c:pt idx="4">
                    <c:v>2006</c:v>
                  </c:pt>
                  <c:pt idx="5">
                    <c:v>2007</c:v>
                  </c:pt>
                  <c:pt idx="6">
                    <c:v>2008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2011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</c:lvl>
                <c:lvl>
                  <c:pt idx="0">
                    <c:v>commodity boom</c:v>
                  </c:pt>
                  <c:pt idx="10">
                    <c:v>post commodity boom</c:v>
                  </c:pt>
                  <c:pt idx="18">
                    <c:v>pandemic</c:v>
                  </c:pt>
                </c:lvl>
              </c:multiLvlStrCache>
            </c:multiLvlStrRef>
          </c:cat>
          <c:val>
            <c:numRef>
              <c:f>'8. Budget rel GDP'!$D$7:$D$26</c:f>
              <c:numCache>
                <c:formatCode>0%</c:formatCode>
                <c:ptCount val="20"/>
                <c:pt idx="0">
                  <c:v>5.4172348950495497E-2</c:v>
                </c:pt>
                <c:pt idx="1">
                  <c:v>5.3854124103765999E-2</c:v>
                </c:pt>
                <c:pt idx="2">
                  <c:v>2.1593829662230446E-2</c:v>
                </c:pt>
                <c:pt idx="3">
                  <c:v>0.10911344795123212</c:v>
                </c:pt>
                <c:pt idx="4">
                  <c:v>9.4935247085172314E-2</c:v>
                </c:pt>
                <c:pt idx="5">
                  <c:v>0.1056489402694194</c:v>
                </c:pt>
                <c:pt idx="6">
                  <c:v>0.11244586618213392</c:v>
                </c:pt>
                <c:pt idx="7">
                  <c:v>5.5498391050067042E-2</c:v>
                </c:pt>
                <c:pt idx="8">
                  <c:v>-1.4119746647963893E-2</c:v>
                </c:pt>
                <c:pt idx="9">
                  <c:v>5.0736463863393588E-2</c:v>
                </c:pt>
                <c:pt idx="10">
                  <c:v>4.1952029599343188E-2</c:v>
                </c:pt>
                <c:pt idx="11">
                  <c:v>2.3670794707034704E-2</c:v>
                </c:pt>
                <c:pt idx="12">
                  <c:v>1.9851088034716691E-2</c:v>
                </c:pt>
                <c:pt idx="13">
                  <c:v>3.6537477775714367E-2</c:v>
                </c:pt>
                <c:pt idx="14">
                  <c:v>8.3510109394735466E-3</c:v>
                </c:pt>
                <c:pt idx="15">
                  <c:v>1.2622775325712432E-2</c:v>
                </c:pt>
                <c:pt idx="16">
                  <c:v>1.0515790350304366E-2</c:v>
                </c:pt>
                <c:pt idx="17">
                  <c:v>8.112386006734762E-2</c:v>
                </c:pt>
                <c:pt idx="18">
                  <c:v>2.0836485826362106E-2</c:v>
                </c:pt>
                <c:pt idx="19">
                  <c:v>-2.3784402989017739E-2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B32-407B-93D9-5C78EF0C8879}"/>
            </c:ext>
          </c:extLst>
        </c:ser>
        <c:ser>
          <c:idx val="2"/>
          <c:order val="2"/>
          <c:tx>
            <c:strRef>
              <c:f>'8. Budget rel GDP'!$E$6</c:f>
              <c:strCache>
                <c:ptCount val="1"/>
                <c:pt idx="0">
                  <c:v>GDP</c:v>
                </c:pt>
              </c:strCache>
            </c:strRef>
          </c:tx>
          <c:spPr>
            <a:ln w="44450">
              <a:solidFill>
                <a:sysClr val="windowText" lastClr="000000">
                  <a:alpha val="45000"/>
                </a:sysClr>
              </a:solidFill>
            </a:ln>
          </c:spPr>
          <c:marker>
            <c:symbol val="none"/>
          </c:marker>
          <c:cat>
            <c:multiLvlStrRef>
              <c:f>'8. Budget rel GDP'!$A$7:$B$26</c:f>
              <c:multiLvlStrCache>
                <c:ptCount val="20"/>
                <c:lvl>
                  <c:pt idx="0">
                    <c:v>2002</c:v>
                  </c:pt>
                  <c:pt idx="1">
                    <c:v>2003</c:v>
                  </c:pt>
                  <c:pt idx="2">
                    <c:v>2004</c:v>
                  </c:pt>
                  <c:pt idx="3">
                    <c:v>2005</c:v>
                  </c:pt>
                  <c:pt idx="4">
                    <c:v>2006</c:v>
                  </c:pt>
                  <c:pt idx="5">
                    <c:v>2007</c:v>
                  </c:pt>
                  <c:pt idx="6">
                    <c:v>2008</c:v>
                  </c:pt>
                  <c:pt idx="7">
                    <c:v>2009</c:v>
                  </c:pt>
                  <c:pt idx="8">
                    <c:v>2010</c:v>
                  </c:pt>
                  <c:pt idx="9">
                    <c:v>2011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</c:lvl>
                <c:lvl>
                  <c:pt idx="0">
                    <c:v>commodity boom</c:v>
                  </c:pt>
                  <c:pt idx="10">
                    <c:v>post commodity boom</c:v>
                  </c:pt>
                  <c:pt idx="18">
                    <c:v>pandemic</c:v>
                  </c:pt>
                </c:lvl>
              </c:multiLvlStrCache>
            </c:multiLvlStrRef>
          </c:cat>
          <c:val>
            <c:numRef>
              <c:f>'8. Budget rel GDP'!$E$7:$E$26</c:f>
              <c:numCache>
                <c:formatCode>0%</c:formatCode>
                <c:ptCount val="20"/>
                <c:pt idx="0">
                  <c:v>3.6677968768751512E-2</c:v>
                </c:pt>
                <c:pt idx="1">
                  <c:v>2.9490781458874959E-2</c:v>
                </c:pt>
                <c:pt idx="2">
                  <c:v>4.5545699205685519E-2</c:v>
                </c:pt>
                <c:pt idx="3">
                  <c:v>5.2771117349823538E-2</c:v>
                </c:pt>
                <c:pt idx="4">
                  <c:v>5.6036647889724067E-2</c:v>
                </c:pt>
                <c:pt idx="5">
                  <c:v>5.360465139616144E-2</c:v>
                </c:pt>
                <c:pt idx="6">
                  <c:v>3.1910516450526449E-2</c:v>
                </c:pt>
                <c:pt idx="7">
                  <c:v>-1.5381008639149374E-2</c:v>
                </c:pt>
                <c:pt idx="8">
                  <c:v>3.039777062767457E-2</c:v>
                </c:pt>
                <c:pt idx="9">
                  <c:v>3.2841971347972843E-2</c:v>
                </c:pt>
                <c:pt idx="10">
                  <c:v>2.213258977865995E-2</c:v>
                </c:pt>
                <c:pt idx="11">
                  <c:v>2.4852847702025116E-2</c:v>
                </c:pt>
                <c:pt idx="12">
                  <c:v>1.8469811407060943E-2</c:v>
                </c:pt>
                <c:pt idx="13">
                  <c:v>1.1937227757431224E-2</c:v>
                </c:pt>
                <c:pt idx="14">
                  <c:v>3.990552950049242E-3</c:v>
                </c:pt>
                <c:pt idx="15">
                  <c:v>1.4145780953139342E-2</c:v>
                </c:pt>
                <c:pt idx="16">
                  <c:v>7.870232667859911E-3</c:v>
                </c:pt>
                <c:pt idx="17">
                  <c:v>1.5258198419545455E-3</c:v>
                </c:pt>
                <c:pt idx="18">
                  <c:v>-6.9595918124989442E-2</c:v>
                </c:pt>
                <c:pt idx="19">
                  <c:v>5.4000000000000048E-2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B32-407B-93D9-5C78EF0C8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ax val="0.2"/>
          <c:min val="-0.1500000000000000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% change over previous year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500621967567406"/>
          <c:y val="9.1394766300611302E-2"/>
          <c:w val="0.79889632436151381"/>
          <c:h val="0.74813484231539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Employment by sector '!$A$4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lIns="0" anchor="ctr" anchorCtr="1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'9. Employment by sector '!$B$3:$P$3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Q4 2020</c:v>
                </c:pt>
                <c:pt idx="14">
                  <c:v>Q1 2021</c:v>
                </c:pt>
              </c:strCache>
            </c:strRef>
          </c:cat>
          <c:val>
            <c:numRef>
              <c:f>'9. Employment by sector '!$B$4:$P$4</c:f>
              <c:numCache>
                <c:formatCode>0</c:formatCode>
                <c:ptCount val="15"/>
                <c:pt idx="0" formatCode="_ * #\ ##0_ ;_ * \-#\ ##0_ ;_ * &quot;-&quot;??_ ;_ @_ ">
                  <c:v>840</c:v>
                </c:pt>
                <c:pt idx="1">
                  <c:v>780</c:v>
                </c:pt>
                <c:pt idx="2" formatCode="_ * #\ ##0_ ;_ * \-#\ ##0_ ;_ * &quot;-&quot;??_ ;_ @_ ">
                  <c:v>680</c:v>
                </c:pt>
                <c:pt idx="3" formatCode="_ * #\ ##0_ ;_ * \-#\ ##0_ ;_ * &quot;-&quot;??_ ;_ @_ ">
                  <c:v>630</c:v>
                </c:pt>
                <c:pt idx="4" formatCode="_ * #\ ##0_ ;_ * \-#\ ##0_ ;_ * &quot;-&quot;??_ ;_ @_ ">
                  <c:v>690</c:v>
                </c:pt>
                <c:pt idx="5">
                  <c:v>760</c:v>
                </c:pt>
                <c:pt idx="6">
                  <c:v>710</c:v>
                </c:pt>
                <c:pt idx="7">
                  <c:v>890</c:v>
                </c:pt>
                <c:pt idx="8">
                  <c:v>870</c:v>
                </c:pt>
                <c:pt idx="9">
                  <c:v>880</c:v>
                </c:pt>
                <c:pt idx="10">
                  <c:v>850</c:v>
                </c:pt>
                <c:pt idx="11">
                  <c:v>840</c:v>
                </c:pt>
                <c:pt idx="12">
                  <c:v>860</c:v>
                </c:pt>
                <c:pt idx="13">
                  <c:v>810</c:v>
                </c:pt>
                <c:pt idx="14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F-40E2-A74C-42489E110FA4}"/>
            </c:ext>
          </c:extLst>
        </c:ser>
        <c:ser>
          <c:idx val="1"/>
          <c:order val="1"/>
          <c:tx>
            <c:strRef>
              <c:f>'9. Employment by sector '!$A$5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Employment by sector '!$B$3:$P$3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Q4 2020</c:v>
                </c:pt>
                <c:pt idx="14">
                  <c:v>Q1 2021</c:v>
                </c:pt>
              </c:strCache>
            </c:strRef>
          </c:cat>
          <c:val>
            <c:numRef>
              <c:f>'9. Employment by sector '!$B$5:$P$5</c:f>
              <c:numCache>
                <c:formatCode>0</c:formatCode>
                <c:ptCount val="15"/>
                <c:pt idx="0" formatCode="_ * #\ ##0_ ;_ * \-#\ ##0_ ;_ * &quot;-&quot;??_ ;_ @_ ">
                  <c:v>2110</c:v>
                </c:pt>
                <c:pt idx="1">
                  <c:v>2030</c:v>
                </c:pt>
                <c:pt idx="2" formatCode="_ * #\ ##0_ ;_ * \-#\ ##0_ ;_ * &quot;-&quot;??_ ;_ @_ ">
                  <c:v>1850</c:v>
                </c:pt>
                <c:pt idx="3" formatCode="_ * #\ ##0_ ;_ * \-#\ ##0_ ;_ * &quot;-&quot;??_ ;_ @_ ">
                  <c:v>1910</c:v>
                </c:pt>
                <c:pt idx="4" formatCode="_ * #\ ##0_ ;_ * \-#\ ##0_ ;_ * &quot;-&quot;??_ ;_ @_ ">
                  <c:v>1840</c:v>
                </c:pt>
                <c:pt idx="5" formatCode="_ * #\ ##0_ ;_ * \-#\ ##0_ ;_ * &quot;-&quot;??_ ;_ @_ ">
                  <c:v>1860</c:v>
                </c:pt>
                <c:pt idx="6" formatCode="_ * #\ ##0_ ;_ * \-#\ ##0_ ;_ * &quot;-&quot;??_ ;_ @_ ">
                  <c:v>1800</c:v>
                </c:pt>
                <c:pt idx="7" formatCode="_ * #\ ##0_ ;_ * \-#\ ##0_ ;_ * &quot;-&quot;??_ ;_ @_ ">
                  <c:v>1780</c:v>
                </c:pt>
                <c:pt idx="8" formatCode="_ * #\ ##0_ ;_ * \-#\ ##0_ ;_ * &quot;-&quot;??_ ;_ @_ ">
                  <c:v>1640</c:v>
                </c:pt>
                <c:pt idx="9">
                  <c:v>1790</c:v>
                </c:pt>
                <c:pt idx="10">
                  <c:v>1850</c:v>
                </c:pt>
                <c:pt idx="11">
                  <c:v>1780</c:v>
                </c:pt>
                <c:pt idx="12">
                  <c:v>1710</c:v>
                </c:pt>
                <c:pt idx="13">
                  <c:v>1490</c:v>
                </c:pt>
                <c:pt idx="14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F-40E2-A74C-42489E110FA4}"/>
            </c:ext>
          </c:extLst>
        </c:ser>
        <c:ser>
          <c:idx val="2"/>
          <c:order val="2"/>
          <c:tx>
            <c:strRef>
              <c:f>'9. Employment by sector '!$A$6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cat>
            <c:strRef>
              <c:f>'9. Employment by sector '!$B$3:$P$3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Q4 2020</c:v>
                </c:pt>
                <c:pt idx="14">
                  <c:v>Q1 2021</c:v>
                </c:pt>
              </c:strCache>
            </c:strRef>
          </c:cat>
          <c:val>
            <c:numRef>
              <c:f>'9. Employment by sector '!$B$6:$P$6</c:f>
              <c:numCache>
                <c:formatCode>0</c:formatCode>
                <c:ptCount val="15"/>
                <c:pt idx="0" formatCode="_ * #\ ##0_ ;_ * \-#\ ##0_ ;_ * &quot;-&quot;??_ ;_ @_ ">
                  <c:v>100</c:v>
                </c:pt>
                <c:pt idx="1">
                  <c:v>110</c:v>
                </c:pt>
                <c:pt idx="2" formatCode="_ * #\ ##0_ ;_ * \-#\ ##0_ ;_ * &quot;-&quot;??_ ;_ @_ ">
                  <c:v>80</c:v>
                </c:pt>
                <c:pt idx="3" formatCode="_ * #\ ##0_ ;_ * \-#\ ##0_ ;_ * &quot;-&quot;??_ ;_ @_ ">
                  <c:v>100</c:v>
                </c:pt>
                <c:pt idx="4" formatCode="_ * #\ ##0_ ;_ * \-#\ ##0_ ;_ * &quot;-&quot;??_ ;_ @_ ">
                  <c:v>90</c:v>
                </c:pt>
                <c:pt idx="5">
                  <c:v>120</c:v>
                </c:pt>
                <c:pt idx="6">
                  <c:v>130</c:v>
                </c:pt>
                <c:pt idx="7">
                  <c:v>140</c:v>
                </c:pt>
                <c:pt idx="8">
                  <c:v>110</c:v>
                </c:pt>
                <c:pt idx="9">
                  <c:v>150</c:v>
                </c:pt>
                <c:pt idx="10">
                  <c:v>140</c:v>
                </c:pt>
                <c:pt idx="11">
                  <c:v>150</c:v>
                </c:pt>
                <c:pt idx="12">
                  <c:v>120</c:v>
                </c:pt>
                <c:pt idx="13">
                  <c:v>100</c:v>
                </c:pt>
                <c:pt idx="1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F-40E2-A74C-42489E110FA4}"/>
            </c:ext>
          </c:extLst>
        </c:ser>
        <c:ser>
          <c:idx val="3"/>
          <c:order val="3"/>
          <c:tx>
            <c:strRef>
              <c:f>'9. Employment by sector '!$A$7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Employment by sector '!$B$3:$P$3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Q4 2020</c:v>
                </c:pt>
                <c:pt idx="14">
                  <c:v>Q1 2021</c:v>
                </c:pt>
              </c:strCache>
            </c:strRef>
          </c:cat>
          <c:val>
            <c:numRef>
              <c:f>'9. Employment by sector '!$B$7:$P$7</c:f>
              <c:numCache>
                <c:formatCode>0</c:formatCode>
                <c:ptCount val="15"/>
                <c:pt idx="0" formatCode="_ * #\ ##0_ ;_ * \-#\ ##0_ ;_ * &quot;-&quot;??_ ;_ @_ ">
                  <c:v>1180</c:v>
                </c:pt>
                <c:pt idx="1">
                  <c:v>1220</c:v>
                </c:pt>
                <c:pt idx="2" formatCode="_ * #\ ##0_ ;_ * \-#\ ##0_ ;_ * &quot;-&quot;??_ ;_ @_ ">
                  <c:v>1100</c:v>
                </c:pt>
                <c:pt idx="3" formatCode="_ * #\ ##0_ ;_ * \-#\ ##0_ ;_ * &quot;-&quot;??_ ;_ @_ ">
                  <c:v>1090</c:v>
                </c:pt>
                <c:pt idx="4" formatCode="_ * #\ ##0_ ;_ * \-#\ ##0_ ;_ * &quot;-&quot;??_ ;_ @_ ">
                  <c:v>1040</c:v>
                </c:pt>
                <c:pt idx="5">
                  <c:v>1080</c:v>
                </c:pt>
                <c:pt idx="6">
                  <c:v>1200</c:v>
                </c:pt>
                <c:pt idx="7">
                  <c:v>1320</c:v>
                </c:pt>
                <c:pt idx="8">
                  <c:v>1360</c:v>
                </c:pt>
                <c:pt idx="9">
                  <c:v>1510</c:v>
                </c:pt>
                <c:pt idx="10">
                  <c:v>1430</c:v>
                </c:pt>
                <c:pt idx="11">
                  <c:v>1340</c:v>
                </c:pt>
                <c:pt idx="12">
                  <c:v>1340</c:v>
                </c:pt>
                <c:pt idx="13">
                  <c:v>1170</c:v>
                </c:pt>
                <c:pt idx="14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F-40E2-A74C-42489E110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101651200"/>
        <c:axId val="101652736"/>
      </c:barChart>
      <c:lineChart>
        <c:grouping val="standard"/>
        <c:varyColors val="0"/>
        <c:ser>
          <c:idx val="4"/>
          <c:order val="4"/>
          <c:tx>
            <c:strRef>
              <c:f>'9. Employment by sector '!$A$8</c:f>
              <c:strCache>
                <c:ptCount val="1"/>
                <c:pt idx="0">
                  <c:v>Other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Employment by sector '!$B$3:$O$3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Q4 2020</c:v>
                </c:pt>
              </c:strCache>
            </c:strRef>
          </c:cat>
          <c:val>
            <c:numRef>
              <c:f>'9. Employment by sector '!$B$8:$P$8</c:f>
              <c:numCache>
                <c:formatCode>0</c:formatCode>
                <c:ptCount val="15"/>
                <c:pt idx="0" formatCode="_ * #\ ##0_ ;_ * \-#\ ##0_ ;_ * &quot;-&quot;??_ ;_ @_ ">
                  <c:v>10.205421618896423</c:v>
                </c:pt>
                <c:pt idx="1">
                  <c:v>10.472653938963369</c:v>
                </c:pt>
                <c:pt idx="2" formatCode="_ * #\ ##0_ ;_ * \-#\ ##0_ ;_ * &quot;-&quot;??_ ;_ @_ ">
                  <c:v>10.084792919698881</c:v>
                </c:pt>
                <c:pt idx="3" formatCode="_ * #\ ##0_ ;_ * \-#\ ##0_ ;_ * &quot;-&quot;??_ ;_ @_ ">
                  <c:v>10.17731696152218</c:v>
                </c:pt>
                <c:pt idx="4" formatCode="_ * #\ ##0_ ;_ * \-#\ ##0_ ;_ * &quot;-&quot;??_ ;_ @_ ">
                  <c:v>10.616010197175939</c:v>
                </c:pt>
                <c:pt idx="5" formatCode="_ * #\ ##0_ ;_ * \-#\ ##0_ ;_ * &quot;-&quot;??_ ;_ @_ ">
                  <c:v>10.730523662317248</c:v>
                </c:pt>
                <c:pt idx="6" formatCode="_ * #\ ##0_ ;_ * \-#\ ##0_ ;_ * &quot;-&quot;??_ ;_ @_ ">
                  <c:v>11.213037213440469</c:v>
                </c:pt>
                <c:pt idx="7" formatCode="_ * #\ ##0_ ;_ * \-#\ ##0_ ;_ * &quot;-&quot;??_ ;_ @_ ">
                  <c:v>11.324768457460547</c:v>
                </c:pt>
                <c:pt idx="8" formatCode="_ * #\ ##0_ ;_ * \-#\ ##0_ ;_ * &quot;-&quot;??_ ;_ @_ ">
                  <c:v>11.687868052061802</c:v>
                </c:pt>
                <c:pt idx="9">
                  <c:v>11.896543919969721</c:v>
                </c:pt>
                <c:pt idx="10">
                  <c:v>12.108233094169332</c:v>
                </c:pt>
                <c:pt idx="11">
                  <c:v>12.185543918928349</c:v>
                </c:pt>
                <c:pt idx="12">
                  <c:v>12.353139000000001</c:v>
                </c:pt>
                <c:pt idx="13">
                  <c:v>11.457518888150862</c:v>
                </c:pt>
                <c:pt idx="14">
                  <c:v>11.511859000000001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FDF-40E2-A74C-42489E110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56832"/>
        <c:axId val="101654912"/>
      </c:lineChart>
      <c:catAx>
        <c:axId val="1016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1652736"/>
        <c:crosses val="autoZero"/>
        <c:auto val="0"/>
        <c:lblAlgn val="ctr"/>
        <c:lblOffset val="100"/>
        <c:noMultiLvlLbl val="0"/>
      </c:catAx>
      <c:valAx>
        <c:axId val="101652736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01651200"/>
        <c:crosses val="autoZero"/>
        <c:crossBetween val="between"/>
      </c:valAx>
      <c:valAx>
        <c:axId val="101654912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millions 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01656832"/>
        <c:crosses val="max"/>
        <c:crossBetween val="between"/>
      </c:valAx>
      <c:catAx>
        <c:axId val="1016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65491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 Employment in mfg and other'!$A$5</c:f>
              <c:strCache>
                <c:ptCount val="1"/>
                <c:pt idx="0">
                  <c:v>Base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'10. Employment in mfg and other'!$B$4:$BB$4</c:f>
              <c:strCache>
                <c:ptCount val="53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Q1 2021</c:v>
                </c:pt>
              </c:strCache>
            </c:strRef>
          </c:cat>
          <c:val>
            <c:numRef>
              <c:f>'10. Employment in mfg and other'!$B$5:$BB$5</c:f>
              <c:numCache>
                <c:formatCode>_ * #\ ##0_ ;_ * \-#\ ##0_ ;_ * "-"??_ ;_ @_ </c:formatCode>
                <c:ptCount val="5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7E3-4765-BA94-35CFA15E4216}"/>
            </c:ext>
          </c:extLst>
        </c:ser>
        <c:ser>
          <c:idx val="2"/>
          <c:order val="1"/>
          <c:tx>
            <c:strRef>
              <c:f>'10. Employment in mfg and other'!$A$6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'10. Employment in mfg and other'!$B$4:$BB$4</c:f>
              <c:strCache>
                <c:ptCount val="53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Q1 2021</c:v>
                </c:pt>
              </c:strCache>
            </c:strRef>
          </c:cat>
          <c:val>
            <c:numRef>
              <c:f>'10. Employment in mfg and other'!$B$6:$BB$6</c:f>
              <c:numCache>
                <c:formatCode>_ * #\ ##0_ ;_ * \-#\ ##0_ ;_ * "-"??_ ;_ @_ </c:formatCode>
                <c:ptCount val="53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  <c:pt idx="34">
                  <c:v>79.721997543334012</c:v>
                </c:pt>
                <c:pt idx="35">
                  <c:v>81.815294299576252</c:v>
                </c:pt>
                <c:pt idx="36">
                  <c:v>84.77134258550295</c:v>
                </c:pt>
                <c:pt idx="37">
                  <c:v>85.22514883289027</c:v>
                </c:pt>
                <c:pt idx="38">
                  <c:v>82.840993010741542</c:v>
                </c:pt>
                <c:pt idx="39">
                  <c:v>84.811385238996365</c:v>
                </c:pt>
                <c:pt idx="40">
                  <c:v>87.577199886306516</c:v>
                </c:pt>
                <c:pt idx="41">
                  <c:v>82.606470401255166</c:v>
                </c:pt>
                <c:pt idx="42">
                  <c:v>81.399108296164371</c:v>
                </c:pt>
                <c:pt idx="43">
                  <c:v>83.654271705079822</c:v>
                </c:pt>
                <c:pt idx="44">
                  <c:v>84.312355198127747</c:v>
                </c:pt>
                <c:pt idx="45">
                  <c:v>84.752922859375502</c:v>
                </c:pt>
                <c:pt idx="46">
                  <c:v>83.355667649783555</c:v>
                </c:pt>
                <c:pt idx="47">
                  <c:v>81.484922853490474</c:v>
                </c:pt>
                <c:pt idx="48">
                  <c:v>80.795764240113527</c:v>
                </c:pt>
                <c:pt idx="49">
                  <c:v>68.953950549984228</c:v>
                </c:pt>
                <c:pt idx="50">
                  <c:v>69.132443726935051</c:v>
                </c:pt>
                <c:pt idx="51">
                  <c:v>70.60253283028473</c:v>
                </c:pt>
                <c:pt idx="52">
                  <c:v>70.923609729753466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7E3-4765-BA94-35CFA15E4216}"/>
            </c:ext>
          </c:extLst>
        </c:ser>
        <c:ser>
          <c:idx val="1"/>
          <c:order val="2"/>
          <c:tx>
            <c:strRef>
              <c:f>'10. Employment in mfg and other'!$A$7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'10. Employment in mfg and other'!$B$4:$BB$4</c:f>
              <c:strCache>
                <c:ptCount val="53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Q1 2021</c:v>
                </c:pt>
              </c:strCache>
            </c:strRef>
          </c:cat>
          <c:val>
            <c:numRef>
              <c:f>'10. Employment in mfg and other'!$B$7:$BB$7</c:f>
              <c:numCache>
                <c:formatCode>_ * #\ ##0_ ;_ * \-#\ ##0_ ;_ * "-"??_ ;_ @_ </c:formatCode>
                <c:ptCount val="53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  <c:pt idx="34">
                  <c:v>114.79408497046846</c:v>
                </c:pt>
                <c:pt idx="35">
                  <c:v>116.34539525200569</c:v>
                </c:pt>
                <c:pt idx="36">
                  <c:v>117.00436297854178</c:v>
                </c:pt>
                <c:pt idx="37">
                  <c:v>116.01361553174337</c:v>
                </c:pt>
                <c:pt idx="38">
                  <c:v>117.1680347357039</c:v>
                </c:pt>
                <c:pt idx="39">
                  <c:v>116.66306410295245</c:v>
                </c:pt>
                <c:pt idx="40">
                  <c:v>117.86457330252131</c:v>
                </c:pt>
                <c:pt idx="41">
                  <c:v>117.98810159677228</c:v>
                </c:pt>
                <c:pt idx="42">
                  <c:v>118.94345722391586</c:v>
                </c:pt>
                <c:pt idx="43">
                  <c:v>119.76292947575151</c:v>
                </c:pt>
                <c:pt idx="44">
                  <c:v>117.72538538707438</c:v>
                </c:pt>
                <c:pt idx="45">
                  <c:v>117.82247705533555</c:v>
                </c:pt>
                <c:pt idx="46">
                  <c:v>118.56724133985051</c:v>
                </c:pt>
                <c:pt idx="47">
                  <c:v>119.25484243171496</c:v>
                </c:pt>
                <c:pt idx="48">
                  <c:v>119.06693000797375</c:v>
                </c:pt>
                <c:pt idx="49">
                  <c:v>102.96882345922246</c:v>
                </c:pt>
                <c:pt idx="50">
                  <c:v>107.34060786972086</c:v>
                </c:pt>
                <c:pt idx="51">
                  <c:v>109.78773655447557</c:v>
                </c:pt>
                <c:pt idx="52">
                  <c:v>109.50397149841442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7E3-4765-BA94-35CFA15E4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36736"/>
        <c:axId val="169243008"/>
      </c:lineChart>
      <c:catAx>
        <c:axId val="169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9243008"/>
        <c:crosses val="autoZero"/>
        <c:auto val="1"/>
        <c:lblAlgn val="ctr"/>
        <c:lblOffset val="100"/>
        <c:noMultiLvlLbl val="0"/>
      </c:catAx>
      <c:valAx>
        <c:axId val="169243008"/>
        <c:scaling>
          <c:orientation val="minMax"/>
          <c:max val="120"/>
          <c:min val="6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Q1 2008 = 100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69236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'11. Employment by occupation'!$C$2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occupation'!$C$3:$C$8</c:f>
              <c:numCache>
                <c:formatCode>_-* #\ ##0.0_-;\-* #\ ##0.0_-;_-* "-"??_-;_-@_-</c:formatCode>
                <c:ptCount val="6"/>
                <c:pt idx="0">
                  <c:v>3.5264444316965395</c:v>
                </c:pt>
                <c:pt idx="1">
                  <c:v>3.7498281360025212</c:v>
                </c:pt>
                <c:pt idx="2">
                  <c:v>2.3440946060938015</c:v>
                </c:pt>
                <c:pt idx="3">
                  <c:v>2.5978070569286449</c:v>
                </c:pt>
                <c:pt idx="4">
                  <c:v>2.9180505590150938</c:v>
                </c:pt>
                <c:pt idx="5">
                  <c:v>1.285889042848454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E-4587-B031-16F5EC70B607}"/>
            </c:ext>
          </c:extLst>
        </c:ser>
        <c:ser>
          <c:idx val="1"/>
          <c:order val="1"/>
          <c:tx>
            <c:strRef>
              <c:f>'11. Employment by occupation'!$D$2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occupation'!$D$3:$D$8</c:f>
              <c:numCache>
                <c:formatCode>_-* #\ ##0.0_-;\-* #\ ##0.0_-;_-* "-"??_-;_-@_-</c:formatCode>
                <c:ptCount val="6"/>
                <c:pt idx="0">
                  <c:v>3.5140960208338048</c:v>
                </c:pt>
                <c:pt idx="1">
                  <c:v>3.671641094993622</c:v>
                </c:pt>
                <c:pt idx="2">
                  <c:v>2.3665009470187321</c:v>
                </c:pt>
                <c:pt idx="3">
                  <c:v>2.5974031089185154</c:v>
                </c:pt>
                <c:pt idx="4">
                  <c:v>2.9206013235921175</c:v>
                </c:pt>
                <c:pt idx="5">
                  <c:v>1.3157276169352805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3CE-4587-B031-16F5EC70B607}"/>
            </c:ext>
          </c:extLst>
        </c:ser>
        <c:ser>
          <c:idx val="2"/>
          <c:order val="2"/>
          <c:tx>
            <c:strRef>
              <c:f>'11. Employment by occupation'!$E$2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occupation'!$E$3:$E$8</c:f>
              <c:numCache>
                <c:formatCode>_-* #\ ##0.0_-;\-* #\ ##0.0_-;_-* "-"??_-;_-@_-</c:formatCode>
                <c:ptCount val="6"/>
                <c:pt idx="0">
                  <c:v>3.4258509970528586</c:v>
                </c:pt>
                <c:pt idx="1">
                  <c:v>3.2566949879580527</c:v>
                </c:pt>
                <c:pt idx="2">
                  <c:v>1.9555468010971662</c:v>
                </c:pt>
                <c:pt idx="3">
                  <c:v>2.1862436526289373</c:v>
                </c:pt>
                <c:pt idx="4">
                  <c:v>2.2802870018557191</c:v>
                </c:pt>
                <c:pt idx="5">
                  <c:v>1.0051591300473217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3CE-4587-B031-16F5EC70B607}"/>
            </c:ext>
          </c:extLst>
        </c:ser>
        <c:ser>
          <c:idx val="3"/>
          <c:order val="3"/>
          <c:tx>
            <c:strRef>
              <c:f>'11. Employment by occupation'!$F$2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occupation'!$F$3:$F$8</c:f>
              <c:numCache>
                <c:formatCode>_-* #\ ##0.0_-;\-* #\ ##0.0_-;_-* "-"??_-;_-@_-</c:formatCode>
                <c:ptCount val="6"/>
                <c:pt idx="0">
                  <c:v>3.480943060815501</c:v>
                </c:pt>
                <c:pt idx="1">
                  <c:v>3.3083796288289964</c:v>
                </c:pt>
                <c:pt idx="2">
                  <c:v>1.9768976485563716</c:v>
                </c:pt>
                <c:pt idx="3">
                  <c:v>2.3018276711450678</c:v>
                </c:pt>
                <c:pt idx="4">
                  <c:v>2.4561481963991998</c:v>
                </c:pt>
                <c:pt idx="5">
                  <c:v>1.1207013689986063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E-4587-B031-16F5EC70B607}"/>
            </c:ext>
          </c:extLst>
        </c:ser>
        <c:ser>
          <c:idx val="4"/>
          <c:order val="4"/>
          <c:tx>
            <c:strRef>
              <c:f>'11. Employment by occupation'!$G$2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occupation'!$G$3:$G$8</c:f>
              <c:numCache>
                <c:formatCode>_-* #\ ##0.0_-;\-* #\ ##0.0_-;_-* "-"??_-;_-@_-</c:formatCode>
                <c:ptCount val="6"/>
                <c:pt idx="0">
                  <c:v>3.4383045318890799</c:v>
                </c:pt>
                <c:pt idx="1">
                  <c:v>3.4388816353665987</c:v>
                </c:pt>
                <c:pt idx="2">
                  <c:v>2.0681316652927881</c:v>
                </c:pt>
                <c:pt idx="3">
                  <c:v>2.2851782684886408</c:v>
                </c:pt>
                <c:pt idx="4">
                  <c:v>2.5211390249229217</c:v>
                </c:pt>
                <c:pt idx="5">
                  <c:v>1.19673177879693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E-4587-B031-16F5EC70B607}"/>
            </c:ext>
          </c:extLst>
        </c:ser>
        <c:ser>
          <c:idx val="0"/>
          <c:order val="5"/>
          <c:tx>
            <c:strRef>
              <c:f>'11. Employment by occupation'!$H$2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 w="158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'11. Employment by occupation'!$A$3:$B$8</c:f>
              <c:multiLvlStrCache>
                <c:ptCount val="6"/>
                <c:lvl>
                  <c:pt idx="0">
                    <c:v>managers/profes-
sionals/technicians</c:v>
                  </c:pt>
                  <c:pt idx="1">
                    <c:v>clerical/service
 workers</c:v>
                  </c:pt>
                  <c:pt idx="2">
                    <c:v>skilled produc-
tion workers</c:v>
                  </c:pt>
                  <c:pt idx="3">
                    <c:v>elementary
 workers</c:v>
                  </c:pt>
                  <c:pt idx="4">
                    <c:v>total</c:v>
                  </c:pt>
                  <c:pt idx="5">
                    <c:v>total</c:v>
                  </c:pt>
                </c:lvl>
                <c:lvl>
                  <c:pt idx="0">
                    <c:v>formal</c:v>
                  </c:pt>
                  <c:pt idx="4">
                    <c:v>informal</c:v>
                  </c:pt>
                  <c:pt idx="5">
                    <c:v>domestic</c:v>
                  </c:pt>
                </c:lvl>
              </c:multiLvlStrCache>
            </c:multiLvlStrRef>
          </c:cat>
          <c:val>
            <c:numRef>
              <c:f>'11. Employment by occupation'!$H$3:$H$8</c:f>
              <c:numCache>
                <c:formatCode>_-* #\ ##0.0_-;\-* #\ ##0.0_-;_-* "-"??_-;_-@_-</c:formatCode>
                <c:ptCount val="6"/>
                <c:pt idx="0">
                  <c:v>3.5411649999999999</c:v>
                </c:pt>
                <c:pt idx="1">
                  <c:v>3.4382320000000002</c:v>
                </c:pt>
                <c:pt idx="2">
                  <c:v>2.0616859999999999</c:v>
                </c:pt>
                <c:pt idx="3">
                  <c:v>2.251115</c:v>
                </c:pt>
                <c:pt idx="4">
                  <c:v>2.6905060000000001</c:v>
                </c:pt>
                <c:pt idx="5">
                  <c:v>1.1490670000000001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E-4587-B031-16F5EC70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'12. Empl by mfg industry'!$B$3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industry'!$B$4:$B$13</c:f>
              <c:numCache>
                <c:formatCode>0</c:formatCode>
                <c:ptCount val="10"/>
                <c:pt idx="0">
                  <c:v>370.75400000000002</c:v>
                </c:pt>
                <c:pt idx="1">
                  <c:v>245.76400000000001</c:v>
                </c:pt>
                <c:pt idx="2">
                  <c:v>101.66</c:v>
                </c:pt>
                <c:pt idx="3">
                  <c:v>64.441999999999993</c:v>
                </c:pt>
                <c:pt idx="4">
                  <c:v>243.64699999999999</c:v>
                </c:pt>
                <c:pt idx="5">
                  <c:v>122.78700000000001</c:v>
                </c:pt>
                <c:pt idx="6">
                  <c:v>238.96700000000001</c:v>
                </c:pt>
                <c:pt idx="7">
                  <c:v>117.821</c:v>
                </c:pt>
                <c:pt idx="8">
                  <c:v>101.18899999999999</c:v>
                </c:pt>
                <c:pt idx="9">
                  <c:v>77.573999999999998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8-439C-AB46-68B0F52C6B27}"/>
            </c:ext>
          </c:extLst>
        </c:ser>
        <c:ser>
          <c:idx val="2"/>
          <c:order val="1"/>
          <c:tx>
            <c:strRef>
              <c:f>'12. Empl by mfg industry'!$C$3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industry'!$C$4:$C$13</c:f>
              <c:numCache>
                <c:formatCode>_-* #\ ##0_-;\-* #\ ##0_-;_-* "-"??_-;_-@_-</c:formatCode>
                <c:ptCount val="10"/>
                <c:pt idx="0">
                  <c:v>344.476</c:v>
                </c:pt>
                <c:pt idx="1">
                  <c:v>179.44300000000001</c:v>
                </c:pt>
                <c:pt idx="2">
                  <c:v>89.882000000000005</c:v>
                </c:pt>
                <c:pt idx="3">
                  <c:v>42.625</c:v>
                </c:pt>
                <c:pt idx="4">
                  <c:v>260.036</c:v>
                </c:pt>
                <c:pt idx="5">
                  <c:v>81.716999999999999</c:v>
                </c:pt>
                <c:pt idx="6">
                  <c:v>176.745</c:v>
                </c:pt>
                <c:pt idx="7">
                  <c:v>128.23500000000001</c:v>
                </c:pt>
                <c:pt idx="8">
                  <c:v>87.444000000000003</c:v>
                </c:pt>
                <c:pt idx="9">
                  <c:v>52.08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8-439C-AB46-68B0F52C6B27}"/>
            </c:ext>
          </c:extLst>
        </c:ser>
        <c:ser>
          <c:idx val="3"/>
          <c:order val="2"/>
          <c:tx>
            <c:strRef>
              <c:f>'12. Empl by mfg industry'!$D$3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472C4">
                <a:lumMod val="20000"/>
                <a:lumOff val="8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industry'!$D$4:$D$13</c:f>
              <c:numCache>
                <c:formatCode>_-* #\ ##0_-;\-* #\ ##0_-;_-* "-"??_-;_-@_-</c:formatCode>
                <c:ptCount val="10"/>
                <c:pt idx="0">
                  <c:v>357.40499999999997</c:v>
                </c:pt>
                <c:pt idx="1">
                  <c:v>196.91900000000001</c:v>
                </c:pt>
                <c:pt idx="2">
                  <c:v>87.384</c:v>
                </c:pt>
                <c:pt idx="3">
                  <c:v>58.835000000000001</c:v>
                </c:pt>
                <c:pt idx="4">
                  <c:v>199.60900000000001</c:v>
                </c:pt>
                <c:pt idx="5">
                  <c:v>102.011</c:v>
                </c:pt>
                <c:pt idx="6">
                  <c:v>184.14599999999999</c:v>
                </c:pt>
                <c:pt idx="7">
                  <c:v>111.292</c:v>
                </c:pt>
                <c:pt idx="8">
                  <c:v>87.113</c:v>
                </c:pt>
                <c:pt idx="9">
                  <c:v>55.304000000000002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8-439C-AB46-68B0F52C6B27}"/>
            </c:ext>
          </c:extLst>
        </c:ser>
        <c:ser>
          <c:idx val="4"/>
          <c:order val="3"/>
          <c:tx>
            <c:strRef>
              <c:f>'12. Empl by mfg industry'!$E$3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beverages, 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Petroleum, chemicals, 
rubber, and plastic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Machinery, equipment
 and appliances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industry'!$E$4:$E$13</c:f>
              <c:numCache>
                <c:formatCode>_ * #\ ##0_ ;_ * \-#\ ##0_ ;_ * "-"??_ ;_ @_ </c:formatCode>
                <c:ptCount val="10"/>
                <c:pt idx="0">
                  <c:v>358.81742276894983</c:v>
                </c:pt>
                <c:pt idx="1">
                  <c:v>219.64426167574715</c:v>
                </c:pt>
                <c:pt idx="2">
                  <c:v>80.558616647539992</c:v>
                </c:pt>
                <c:pt idx="3">
                  <c:v>48.17813297882001</c:v>
                </c:pt>
                <c:pt idx="4">
                  <c:v>235.366463012135</c:v>
                </c:pt>
                <c:pt idx="5">
                  <c:v>75.353441659809974</c:v>
                </c:pt>
                <c:pt idx="6">
                  <c:v>205.55878200124994</c:v>
                </c:pt>
                <c:pt idx="7">
                  <c:v>122.56274671994002</c:v>
                </c:pt>
                <c:pt idx="8">
                  <c:v>82.208356691140011</c:v>
                </c:pt>
                <c:pt idx="9">
                  <c:v>85.724552013100009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A8-439C-AB46-68B0F52C6B27}"/>
            </c:ext>
          </c:extLst>
        </c:ser>
        <c:ser>
          <c:idx val="0"/>
          <c:order val="4"/>
          <c:tx>
            <c:v>Q1 2021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val>
            <c:numRef>
              <c:f>'12. Empl by mfg industry'!$F$4:$F$13</c:f>
              <c:numCache>
                <c:formatCode>###0</c:formatCode>
                <c:ptCount val="10"/>
                <c:pt idx="0" formatCode="_ * #\ ##0_ ;_ * \-#\ ##0_ ;_ * &quot;-&quot;??_ ;_ @_ ">
                  <c:v>354.67500000000001</c:v>
                </c:pt>
                <c:pt idx="1">
                  <c:v>213.49600000000001</c:v>
                </c:pt>
                <c:pt idx="2">
                  <c:v>87.5</c:v>
                </c:pt>
                <c:pt idx="3">
                  <c:v>45.375999999999998</c:v>
                </c:pt>
                <c:pt idx="4">
                  <c:v>210.51599999999999</c:v>
                </c:pt>
                <c:pt idx="5">
                  <c:v>92.224000000000004</c:v>
                </c:pt>
                <c:pt idx="6">
                  <c:v>205.43199999999999</c:v>
                </c:pt>
                <c:pt idx="7">
                  <c:v>121.80500000000001</c:v>
                </c:pt>
                <c:pt idx="8">
                  <c:v>81.587000000000003</c:v>
                </c:pt>
                <c:pt idx="9">
                  <c:v>64.867999999999995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A8-439C-AB46-68B0F52C6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 Mining employment'!$B$3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'13. Mining employment'!$A$4:$A$46</c:f>
              <c:numCache>
                <c:formatCode>General</c:formatCode>
                <c:ptCount val="43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'13. Mining employment'!$B$4:$B$47</c:f>
              <c:numCache>
                <c:formatCode>_ * #\ ##0_ ;_ * \-#\ ##0_ ;_ * "-"??_ ;_ @_ </c:formatCode>
                <c:ptCount val="44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D-44B7-9731-B104EFDA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crossAx val="16697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'14.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'14. Exports, imports, BOT'!$I$4:$J$48</c:f>
              <c:multiLvlStrCache>
                <c:ptCount val="4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BOT'!$M$4:$M$48</c:f>
              <c:numCache>
                <c:formatCode>_ * #\ ##0.0_ ;_ * \-#\ ##0.0_ ;_ * "-"??_ ;_ @_ </c:formatCode>
                <c:ptCount val="45"/>
                <c:pt idx="0">
                  <c:v>-14.414426305701966</c:v>
                </c:pt>
                <c:pt idx="1">
                  <c:v>5.7993573801613536</c:v>
                </c:pt>
                <c:pt idx="2">
                  <c:v>1.6265296610168889</c:v>
                </c:pt>
                <c:pt idx="3">
                  <c:v>25.865333333333353</c:v>
                </c:pt>
                <c:pt idx="4">
                  <c:v>-7.0704270207851891</c:v>
                </c:pt>
                <c:pt idx="5">
                  <c:v>2.2465020408162673</c:v>
                </c:pt>
                <c:pt idx="6">
                  <c:v>-8.1385524787851864</c:v>
                </c:pt>
                <c:pt idx="7">
                  <c:v>-20.225690864960256</c:v>
                </c:pt>
                <c:pt idx="8">
                  <c:v>-40.970176598521107</c:v>
                </c:pt>
                <c:pt idx="9">
                  <c:v>-37.360095115681247</c:v>
                </c:pt>
                <c:pt idx="10">
                  <c:v>-49.320454777070097</c:v>
                </c:pt>
                <c:pt idx="11">
                  <c:v>-47.996804592901867</c:v>
                </c:pt>
                <c:pt idx="12">
                  <c:v>-62.186345252774288</c:v>
                </c:pt>
                <c:pt idx="13">
                  <c:v>-50.659110547667353</c:v>
                </c:pt>
                <c:pt idx="14">
                  <c:v>-63.03769176987629</c:v>
                </c:pt>
                <c:pt idx="15">
                  <c:v>-12.028407290015878</c:v>
                </c:pt>
                <c:pt idx="16">
                  <c:v>-38.870254076087065</c:v>
                </c:pt>
                <c:pt idx="17">
                  <c:v>-27.4664332191781</c:v>
                </c:pt>
                <c:pt idx="18">
                  <c:v>-46.48048985725012</c:v>
                </c:pt>
                <c:pt idx="19">
                  <c:v>-26.963502436281829</c:v>
                </c:pt>
                <c:pt idx="20">
                  <c:v>-43.64596944858431</c:v>
                </c:pt>
                <c:pt idx="21">
                  <c:v>11.625730335032756</c:v>
                </c:pt>
                <c:pt idx="22">
                  <c:v>-15.501486166007851</c:v>
                </c:pt>
                <c:pt idx="23">
                  <c:v>-16.142192060085847</c:v>
                </c:pt>
                <c:pt idx="24">
                  <c:v>-20.279907692307688</c:v>
                </c:pt>
                <c:pt idx="25">
                  <c:v>37.395318461538409</c:v>
                </c:pt>
                <c:pt idx="26">
                  <c:v>4.0964741641336673</c:v>
                </c:pt>
                <c:pt idx="27">
                  <c:v>7.6587711609233793</c:v>
                </c:pt>
                <c:pt idx="28">
                  <c:v>5.8465448275863992</c:v>
                </c:pt>
                <c:pt idx="29">
                  <c:v>28.885990909090935</c:v>
                </c:pt>
                <c:pt idx="30">
                  <c:v>22.671001450209474</c:v>
                </c:pt>
                <c:pt idx="31">
                  <c:v>37.612808626198103</c:v>
                </c:pt>
                <c:pt idx="32">
                  <c:v>-20.46816482649848</c:v>
                </c:pt>
                <c:pt idx="33">
                  <c:v>18.791566500932277</c:v>
                </c:pt>
                <c:pt idx="34">
                  <c:v>0.57067679558014106</c:v>
                </c:pt>
                <c:pt idx="35">
                  <c:v>17.587894736842088</c:v>
                </c:pt>
                <c:pt idx="36">
                  <c:v>-4.5150544959128069</c:v>
                </c:pt>
                <c:pt idx="37">
                  <c:v>3.9262600416542455</c:v>
                </c:pt>
                <c:pt idx="38">
                  <c:v>6.2665649867373645</c:v>
                </c:pt>
                <c:pt idx="39">
                  <c:v>24.251631934252998</c:v>
                </c:pt>
                <c:pt idx="40">
                  <c:v>36.320988692374613</c:v>
                </c:pt>
                <c:pt idx="41">
                  <c:v>31.372203660662393</c:v>
                </c:pt>
                <c:pt idx="42">
                  <c:v>111.22840909090905</c:v>
                </c:pt>
                <c:pt idx="43">
                  <c:v>104.44519203413944</c:v>
                </c:pt>
                <c:pt idx="44">
                  <c:v>96.414000000000044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C-4D19-876B-3789F6869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'14.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3810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'14. Exports, imports, BOT'!$I$4:$J$48</c:f>
              <c:multiLvlStrCache>
                <c:ptCount val="4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BOT'!$K$4:$K$48</c:f>
              <c:numCache>
                <c:formatCode>_ * #\ ##0_ ;_ * \-#\ ##0_ ;_ * "-"??_ ;_ @_ </c:formatCode>
                <c:ptCount val="45"/>
                <c:pt idx="0">
                  <c:v>218.93289494489701</c:v>
                </c:pt>
                <c:pt idx="1">
                  <c:v>247.86364356905554</c:v>
                </c:pt>
                <c:pt idx="2">
                  <c:v>263.93699152542371</c:v>
                </c:pt>
                <c:pt idx="3">
                  <c:v>273.18783333333329</c:v>
                </c:pt>
                <c:pt idx="4">
                  <c:v>258.18117713625867</c:v>
                </c:pt>
                <c:pt idx="5">
                  <c:v>271.72195102040814</c:v>
                </c:pt>
                <c:pt idx="6">
                  <c:v>294.16521505136217</c:v>
                </c:pt>
                <c:pt idx="7">
                  <c:v>302.20606310679608</c:v>
                </c:pt>
                <c:pt idx="8">
                  <c:v>265.30536668116576</c:v>
                </c:pt>
                <c:pt idx="9">
                  <c:v>269.0502898457583</c:v>
                </c:pt>
                <c:pt idx="10">
                  <c:v>274.1745821656051</c:v>
                </c:pt>
                <c:pt idx="11">
                  <c:v>277.07566096033406</c:v>
                </c:pt>
                <c:pt idx="12">
                  <c:v>261.45235080147967</c:v>
                </c:pt>
                <c:pt idx="13">
                  <c:v>289.32839817444216</c:v>
                </c:pt>
                <c:pt idx="14">
                  <c:v>316.91397602876538</c:v>
                </c:pt>
                <c:pt idx="15">
                  <c:v>346.96715491283675</c:v>
                </c:pt>
                <c:pt idx="16">
                  <c:v>331.26638198757757</c:v>
                </c:pt>
                <c:pt idx="17">
                  <c:v>318.25122945205487</c:v>
                </c:pt>
                <c:pt idx="18">
                  <c:v>326.72706930879042</c:v>
                </c:pt>
                <c:pt idx="19">
                  <c:v>346.73175505996994</c:v>
                </c:pt>
                <c:pt idx="20">
                  <c:v>310.60978055141584</c:v>
                </c:pt>
                <c:pt idx="21">
                  <c:v>341.4797583758193</c:v>
                </c:pt>
                <c:pt idx="22">
                  <c:v>348.46293945382678</c:v>
                </c:pt>
                <c:pt idx="23">
                  <c:v>340.92615289699569</c:v>
                </c:pt>
                <c:pt idx="24">
                  <c:v>320.69530699300697</c:v>
                </c:pt>
                <c:pt idx="25">
                  <c:v>366.55015538461538</c:v>
                </c:pt>
                <c:pt idx="26">
                  <c:v>342.02653799392095</c:v>
                </c:pt>
                <c:pt idx="27">
                  <c:v>333.50740699230511</c:v>
                </c:pt>
                <c:pt idx="28">
                  <c:v>313.72799113300499</c:v>
                </c:pt>
                <c:pt idx="29">
                  <c:v>344.0344324675325</c:v>
                </c:pt>
                <c:pt idx="30">
                  <c:v>342.19366822429907</c:v>
                </c:pt>
                <c:pt idx="31">
                  <c:v>368.76639680511187</c:v>
                </c:pt>
                <c:pt idx="32">
                  <c:v>301.84506908517346</c:v>
                </c:pt>
                <c:pt idx="33">
                  <c:v>333.0543398073338</c:v>
                </c:pt>
                <c:pt idx="34">
                  <c:v>368.05379834254143</c:v>
                </c:pt>
                <c:pt idx="35">
                  <c:v>373.1792717258262</c:v>
                </c:pt>
                <c:pt idx="36">
                  <c:v>314.41031335149859</c:v>
                </c:pt>
                <c:pt idx="37">
                  <c:v>343.358421600714</c:v>
                </c:pt>
                <c:pt idx="38">
                  <c:v>359.11053050397879</c:v>
                </c:pt>
                <c:pt idx="39">
                  <c:v>357.36358379806285</c:v>
                </c:pt>
                <c:pt idx="40">
                  <c:v>338.59906204697018</c:v>
                </c:pt>
                <c:pt idx="41">
                  <c:v>282.85385386403249</c:v>
                </c:pt>
                <c:pt idx="42">
                  <c:v>394.21575900514574</c:v>
                </c:pt>
                <c:pt idx="43">
                  <c:v>416.74106970128025</c:v>
                </c:pt>
                <c:pt idx="44">
                  <c:v>408.91500000000002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68C-4D19-876B-3789F686906B}"/>
            </c:ext>
          </c:extLst>
        </c:ser>
        <c:ser>
          <c:idx val="1"/>
          <c:order val="1"/>
          <c:tx>
            <c:strRef>
              <c:f>'14.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'14. Exports, imports, BOT'!$I$4:$J$48</c:f>
              <c:multiLvlStrCache>
                <c:ptCount val="4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BOT'!$L$4:$L$48</c:f>
              <c:numCache>
                <c:formatCode>_ * #\ ##0_ ;_ * \-#\ ##0_ ;_ * "-"??_ ;_ @_ </c:formatCode>
                <c:ptCount val="45"/>
                <c:pt idx="0">
                  <c:v>233.34732125059898</c:v>
                </c:pt>
                <c:pt idx="1">
                  <c:v>242.06428618889419</c:v>
                </c:pt>
                <c:pt idx="2">
                  <c:v>262.31046186440682</c:v>
                </c:pt>
                <c:pt idx="3">
                  <c:v>247.32249999999993</c:v>
                </c:pt>
                <c:pt idx="4">
                  <c:v>265.25160415704386</c:v>
                </c:pt>
                <c:pt idx="5">
                  <c:v>269.47544897959187</c:v>
                </c:pt>
                <c:pt idx="6">
                  <c:v>302.30376753014735</c:v>
                </c:pt>
                <c:pt idx="7">
                  <c:v>322.43175397175634</c:v>
                </c:pt>
                <c:pt idx="8">
                  <c:v>306.27554327968687</c:v>
                </c:pt>
                <c:pt idx="9">
                  <c:v>306.41038496143955</c:v>
                </c:pt>
                <c:pt idx="10">
                  <c:v>323.4950369426752</c:v>
                </c:pt>
                <c:pt idx="11">
                  <c:v>325.07246555323593</c:v>
                </c:pt>
                <c:pt idx="12">
                  <c:v>323.63869605425396</c:v>
                </c:pt>
                <c:pt idx="13">
                  <c:v>339.98750872210951</c:v>
                </c:pt>
                <c:pt idx="14">
                  <c:v>379.95166779864167</c:v>
                </c:pt>
                <c:pt idx="15">
                  <c:v>358.99556220285262</c:v>
                </c:pt>
                <c:pt idx="16">
                  <c:v>370.13663606366464</c:v>
                </c:pt>
                <c:pt idx="17">
                  <c:v>345.71766267123297</c:v>
                </c:pt>
                <c:pt idx="18">
                  <c:v>373.20755916604054</c:v>
                </c:pt>
                <c:pt idx="19">
                  <c:v>373.69525749625177</c:v>
                </c:pt>
                <c:pt idx="20">
                  <c:v>354.25575000000015</c:v>
                </c:pt>
                <c:pt idx="21">
                  <c:v>329.85402804078655</c:v>
                </c:pt>
                <c:pt idx="22">
                  <c:v>363.96442561983463</c:v>
                </c:pt>
                <c:pt idx="23">
                  <c:v>357.06834495708154</c:v>
                </c:pt>
                <c:pt idx="24">
                  <c:v>340.97521468531465</c:v>
                </c:pt>
                <c:pt idx="25">
                  <c:v>329.15483692307697</c:v>
                </c:pt>
                <c:pt idx="26">
                  <c:v>337.93006382978729</c:v>
                </c:pt>
                <c:pt idx="27">
                  <c:v>325.84863583138173</c:v>
                </c:pt>
                <c:pt idx="28">
                  <c:v>307.88144630541859</c:v>
                </c:pt>
                <c:pt idx="29">
                  <c:v>315.14844155844156</c:v>
                </c:pt>
                <c:pt idx="30">
                  <c:v>319.5226667740896</c:v>
                </c:pt>
                <c:pt idx="31">
                  <c:v>331.15358817891376</c:v>
                </c:pt>
                <c:pt idx="32">
                  <c:v>322.31323391167194</c:v>
                </c:pt>
                <c:pt idx="33">
                  <c:v>314.26277330640153</c:v>
                </c:pt>
                <c:pt idx="34">
                  <c:v>367.48312154696129</c:v>
                </c:pt>
                <c:pt idx="35">
                  <c:v>355.59137698898411</c:v>
                </c:pt>
                <c:pt idx="36">
                  <c:v>318.92536784741139</c:v>
                </c:pt>
                <c:pt idx="37">
                  <c:v>339.43216155905975</c:v>
                </c:pt>
                <c:pt idx="38">
                  <c:v>352.84396551724143</c:v>
                </c:pt>
                <c:pt idx="39">
                  <c:v>333.11195186380985</c:v>
                </c:pt>
                <c:pt idx="40">
                  <c:v>302.27807335459556</c:v>
                </c:pt>
                <c:pt idx="41">
                  <c:v>251.48165020337009</c:v>
                </c:pt>
                <c:pt idx="42">
                  <c:v>282.98734991423669</c:v>
                </c:pt>
                <c:pt idx="43">
                  <c:v>312.29587766714081</c:v>
                </c:pt>
                <c:pt idx="44">
                  <c:v>312.50099999999998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68C-4D19-876B-3789F6869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(2020) rand</a:t>
                </a:r>
              </a:p>
            </c:rich>
          </c:tx>
          <c:layout/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'14.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'14. Exports, imports, BOT'!$O$4:$P$48</c:f>
              <c:multiLvlStrCache>
                <c:ptCount val="4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BOT'!$S$4:$S$48</c:f>
              <c:numCache>
                <c:formatCode>_ * #\ ##0.0_ ;_ * \-#\ ##0.0_ ;_ * "-"??_ ;_ @_ </c:formatCode>
                <c:ptCount val="45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2.2971316818774454</c:v>
                </c:pt>
                <c:pt idx="41">
                  <c:v>1.6922005571030638</c:v>
                </c:pt>
                <c:pt idx="42">
                  <c:v>6.472205795387346</c:v>
                </c:pt>
                <c:pt idx="43">
                  <c:v>6.5945083014048578</c:v>
                </c:pt>
                <c:pt idx="44">
                  <c:v>6.444786096256685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E-4384-A3A6-DC884A6B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'14.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3810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'14. Exports, imports, BOT'!$O$4:$P$48</c:f>
              <c:multiLvlStrCache>
                <c:ptCount val="4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BOT'!$Q$4:$Q$48</c:f>
              <c:numCache>
                <c:formatCode>_ * #\ ##0_ ;_ * \-#\ ##0_ ;_ * "-"??_ ;_ @_ </c:formatCode>
                <c:ptCount val="45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21.414797913950455</c:v>
                </c:pt>
                <c:pt idx="41">
                  <c:v>15.25699164345404</c:v>
                </c:pt>
                <c:pt idx="42">
                  <c:v>22.938793613246599</c:v>
                </c:pt>
                <c:pt idx="43">
                  <c:v>26.312388250319287</c:v>
                </c:pt>
                <c:pt idx="44">
                  <c:v>27.333890374331549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82E-4384-A3A6-DC884A6BD7E4}"/>
            </c:ext>
          </c:extLst>
        </c:ser>
        <c:ser>
          <c:idx val="1"/>
          <c:order val="1"/>
          <c:tx>
            <c:strRef>
              <c:f>'14.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'14. Exports, imports, BOT'!$O$4:$P$48</c:f>
              <c:multiLvlStrCache>
                <c:ptCount val="4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</c:lvl>
              </c:multiLvlStrCache>
            </c:multiLvlStrRef>
          </c:cat>
          <c:val>
            <c:numRef>
              <c:f>'14. Exports, imports, BOT'!$R$4:$R$48</c:f>
              <c:numCache>
                <c:formatCode>_ * #\ ##0_ ;_ * \-#\ ##0_ ;_ * "-"??_ ;_ @_ </c:formatCode>
                <c:ptCount val="45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19.11766623207301</c:v>
                </c:pt>
                <c:pt idx="41">
                  <c:v>13.564791086350976</c:v>
                </c:pt>
                <c:pt idx="42">
                  <c:v>16.466587817859253</c:v>
                </c:pt>
                <c:pt idx="43">
                  <c:v>19.71787994891443</c:v>
                </c:pt>
                <c:pt idx="44">
                  <c:v>20.889104278074864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82E-4384-A3A6-DC884A6B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/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Exports by sector'!$A$4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61-4913-82A8-2AE58017E00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61-4913-82A8-2AE58017E00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61-4913-82A8-2AE58017E00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61-4913-82A8-2AE58017E00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61-4913-82A8-2AE58017E00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61-4913-82A8-2AE58017E00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61-4913-82A8-2AE58017E00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61-4913-82A8-2AE58017E00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61-4913-82A8-2AE58017E00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661-4913-82A8-2AE58017E0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661-4913-82A8-2AE58017E002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661-4913-82A8-2AE58017E00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661-4913-82A8-2AE58017E002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661-4913-82A8-2AE58017E002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661-4913-82A8-2AE58017E002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661-4913-82A8-2AE58017E002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661-4913-82A8-2AE58017E002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661-4913-82A8-2AE58017E00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661-4913-82A8-2AE58017E002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661-4913-82A8-2AE58017E00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661-4913-82A8-2AE58017E00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661-4913-82A8-2AE58017E00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661-4913-82A8-2AE58017E002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661-4913-82A8-2AE58017E00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61-4913-82A8-2AE58017E002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661-4913-82A8-2AE58017E002}"/>
              </c:ext>
            </c:extLst>
          </c:dPt>
          <c:cat>
            <c:multiLvlStrRef>
              <c:f>'15. Exports by sector'!$B$4:$AM$5</c:f>
              <c:multiLvlStrCache>
                <c:ptCount val="38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  <c:pt idx="37">
                    <c:v>2021</c:v>
                  </c:pt>
                </c:lvl>
                <c:lvl>
                  <c:pt idx="0">
                    <c:v>Agriculture</c:v>
                  </c:pt>
                  <c:pt idx="13">
                    <c:v>Mining</c:v>
                  </c:pt>
                  <c:pt idx="26">
                    <c:v>Manufacturing</c:v>
                  </c:pt>
                </c:lvl>
              </c:multiLvlStrCache>
            </c:multiLvlStrRef>
          </c:cat>
          <c:val>
            <c:numRef>
              <c:f>'15. Exports by sector'!$B$6:$AM$6</c:f>
              <c:numCache>
                <c:formatCode>_ * #\ ##0_ ;_ * \-#\ ##0_ ;_ * "-"??_ ;_ @_ </c:formatCode>
                <c:ptCount val="38"/>
                <c:pt idx="0">
                  <c:v>10.303861739338766</c:v>
                </c:pt>
                <c:pt idx="1">
                  <c:v>11.008184757505772</c:v>
                </c:pt>
                <c:pt idx="2">
                  <c:v>11.251520878642889</c:v>
                </c:pt>
                <c:pt idx="3">
                  <c:v>13.266885943279902</c:v>
                </c:pt>
                <c:pt idx="4">
                  <c:v>18.368696040372669</c:v>
                </c:pt>
                <c:pt idx="5">
                  <c:v>18.166526825633383</c:v>
                </c:pt>
                <c:pt idx="6">
                  <c:v>21.586059440559442</c:v>
                </c:pt>
                <c:pt idx="7">
                  <c:v>20.733530541871922</c:v>
                </c:pt>
                <c:pt idx="8">
                  <c:v>18.375649211356468</c:v>
                </c:pt>
                <c:pt idx="9">
                  <c:v>18.867008174386925</c:v>
                </c:pt>
                <c:pt idx="10">
                  <c:v>22.739218904030157</c:v>
                </c:pt>
                <c:pt idx="11">
                  <c:v>24.635399999999997</c:v>
                </c:pt>
                <c:pt idx="13">
                  <c:v>99.351603737422167</c:v>
                </c:pt>
                <c:pt idx="14">
                  <c:v>125.10003949191685</c:v>
                </c:pt>
                <c:pt idx="15">
                  <c:v>133.97494541104828</c:v>
                </c:pt>
                <c:pt idx="16">
                  <c:v>128.90915104808877</c:v>
                </c:pt>
                <c:pt idx="17">
                  <c:v>141.35347942546579</c:v>
                </c:pt>
                <c:pt idx="18">
                  <c:v>120.37343908345754</c:v>
                </c:pt>
                <c:pt idx="19">
                  <c:v>119.94607290209791</c:v>
                </c:pt>
                <c:pt idx="20">
                  <c:v>131.46681871921183</c:v>
                </c:pt>
                <c:pt idx="21">
                  <c:v>125.43071735015772</c:v>
                </c:pt>
                <c:pt idx="22">
                  <c:v>134.12467166212534</c:v>
                </c:pt>
                <c:pt idx="23">
                  <c:v>155.83361568570604</c:v>
                </c:pt>
                <c:pt idx="24" formatCode="0">
                  <c:v>208.65700000000001</c:v>
                </c:pt>
                <c:pt idx="26">
                  <c:v>109.27742946813611</c:v>
                </c:pt>
                <c:pt idx="27">
                  <c:v>122.07295288683602</c:v>
                </c:pt>
                <c:pt idx="28">
                  <c:v>120.07890039147456</c:v>
                </c:pt>
                <c:pt idx="29">
                  <c:v>119.27631381011096</c:v>
                </c:pt>
                <c:pt idx="30">
                  <c:v>171.54420652173914</c:v>
                </c:pt>
                <c:pt idx="31">
                  <c:v>172.06981464232493</c:v>
                </c:pt>
                <c:pt idx="32">
                  <c:v>179.16317465034965</c:v>
                </c:pt>
                <c:pt idx="33">
                  <c:v>161.52764187192113</c:v>
                </c:pt>
                <c:pt idx="34">
                  <c:v>158.03870252365928</c:v>
                </c:pt>
                <c:pt idx="35">
                  <c:v>161.08390599455038</c:v>
                </c:pt>
                <c:pt idx="36">
                  <c:v>159.64547448535808</c:v>
                </c:pt>
                <c:pt idx="37" formatCode="_-* #\ ##0_-;\-* #\ ##0_-;_-* &quot;-&quot;??_-;_-@_-">
                  <c:v>175.62269999999998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661-4913-82A8-2AE58017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400" b="1"/>
                  <a:t>Billions of constant (2020) rand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Exports by sector'!$A$8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A0-4EDA-B0DF-DBD2FC485E6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A0-4EDA-B0DF-DBD2FC485E6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A0-4EDA-B0DF-DBD2FC485E6B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A0-4EDA-B0DF-DBD2FC485E6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A0-4EDA-B0DF-DBD2FC485E6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A0-4EDA-B0DF-DBD2FC485E6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A0-4EDA-B0DF-DBD2FC485E6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A0-4EDA-B0DF-DBD2FC485E6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A0-4EDA-B0DF-DBD2FC485E6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4A0-4EDA-B0DF-DBD2FC485E6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4A0-4EDA-B0DF-DBD2FC485E6B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4A0-4EDA-B0DF-DBD2FC485E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4A0-4EDA-B0DF-DBD2FC485E6B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4A0-4EDA-B0DF-DBD2FC485E6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4A0-4EDA-B0DF-DBD2FC485E6B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4A0-4EDA-B0DF-DBD2FC485E6B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4A0-4EDA-B0DF-DBD2FC485E6B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4A0-4EDA-B0DF-DBD2FC485E6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4A0-4EDA-B0DF-DBD2FC485E6B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4A0-4EDA-B0DF-DBD2FC485E6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4A0-4EDA-B0DF-DBD2FC485E6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4A0-4EDA-B0DF-DBD2FC485E6B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4A0-4EDA-B0DF-DBD2FC485E6B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4A0-4EDA-B0DF-DBD2FC485E6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4A0-4EDA-B0DF-DBD2FC485E6B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4A0-4EDA-B0DF-DBD2FC485E6B}"/>
              </c:ext>
            </c:extLst>
          </c:dPt>
          <c:cat>
            <c:multiLvlStrRef>
              <c:f>'15. Exports by sector'!$B$8:$AM$9</c:f>
              <c:multiLvlStrCache>
                <c:ptCount val="38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  <c:pt idx="37">
                    <c:v>2021</c:v>
                  </c:pt>
                </c:lvl>
                <c:lvl>
                  <c:pt idx="0">
                    <c:v>Agriculture</c:v>
                  </c:pt>
                  <c:pt idx="13">
                    <c:v>Mining</c:v>
                  </c:pt>
                  <c:pt idx="26">
                    <c:v>Manufacturing</c:v>
                  </c:pt>
                </c:lvl>
              </c:multiLvlStrCache>
            </c:multiLvlStrRef>
          </c:cat>
          <c:val>
            <c:numRef>
              <c:f>'15. Exports by sector'!$B$10:$AM$10</c:f>
              <c:numCache>
                <c:formatCode>_ * #\ ##0_ ;_ * \-#\ ##0_ ;_ * "-"??_ ;_ @_ </c:formatCode>
                <c:ptCount val="38"/>
                <c:pt idx="0">
                  <c:v>0.80479159456381888</c:v>
                </c:pt>
                <c:pt idx="1">
                  <c:v>0.9574418923756477</c:v>
                </c:pt>
                <c:pt idx="2">
                  <c:v>0.93869316562685567</c:v>
                </c:pt>
                <c:pt idx="3">
                  <c:v>1.0135745038537194</c:v>
                </c:pt>
                <c:pt idx="4">
                  <c:v>1.2250780355933928</c:v>
                </c:pt>
                <c:pt idx="5">
                  <c:v>1.1670442332551034</c:v>
                </c:pt>
                <c:pt idx="6">
                  <c:v>1.0997582758606366</c:v>
                </c:pt>
                <c:pt idx="7">
                  <c:v>1.3444455893573117</c:v>
                </c:pt>
                <c:pt idx="8">
                  <c:v>1.3708170149394427</c:v>
                </c:pt>
                <c:pt idx="9">
                  <c:v>1.2508587657865642</c:v>
                </c:pt>
                <c:pt idx="10">
                  <c:v>1.4363000586195203</c:v>
                </c:pt>
                <c:pt idx="11">
                  <c:v>1.6471605774382185</c:v>
                </c:pt>
                <c:pt idx="13">
                  <c:v>7.773057080088309</c:v>
                </c:pt>
                <c:pt idx="14">
                  <c:v>10.888346247093207</c:v>
                </c:pt>
                <c:pt idx="15">
                  <c:v>11.181143054980231</c:v>
                </c:pt>
                <c:pt idx="16">
                  <c:v>9.8572189581452179</c:v>
                </c:pt>
                <c:pt idx="17">
                  <c:v>9.4208474342899304</c:v>
                </c:pt>
                <c:pt idx="18">
                  <c:v>7.7323819383716277</c:v>
                </c:pt>
                <c:pt idx="19">
                  <c:v>6.1107384073830335</c:v>
                </c:pt>
                <c:pt idx="20">
                  <c:v>8.5177015357671237</c:v>
                </c:pt>
                <c:pt idx="21">
                  <c:v>9.3640226065974712</c:v>
                </c:pt>
                <c:pt idx="22">
                  <c:v>8.887764142387077</c:v>
                </c:pt>
                <c:pt idx="23">
                  <c:v>9.8758893251795339</c:v>
                </c:pt>
                <c:pt idx="24">
                  <c:v>13.955572378489331</c:v>
                </c:pt>
                <c:pt idx="26">
                  <c:v>8.5452818530198318</c:v>
                </c:pt>
                <c:pt idx="27">
                  <c:v>10.62227149928246</c:v>
                </c:pt>
                <c:pt idx="28">
                  <c:v>10.037995920750518</c:v>
                </c:pt>
                <c:pt idx="29">
                  <c:v>9.1121193875059774</c:v>
                </c:pt>
                <c:pt idx="30">
                  <c:v>11.439655068597791</c:v>
                </c:pt>
                <c:pt idx="31">
                  <c:v>11.04615006418123</c:v>
                </c:pt>
                <c:pt idx="32">
                  <c:v>9.1358345392774858</c:v>
                </c:pt>
                <c:pt idx="33">
                  <c:v>10.490311109133925</c:v>
                </c:pt>
                <c:pt idx="34">
                  <c:v>11.808837417225998</c:v>
                </c:pt>
                <c:pt idx="35">
                  <c:v>10.672202760507046</c:v>
                </c:pt>
                <c:pt idx="36">
                  <c:v>10.07406166669176</c:v>
                </c:pt>
                <c:pt idx="37" formatCode="_-* #\ ##0_-;\-* #\ ##0_-;_-* &quot;-&quot;??_-;_-@_-">
                  <c:v>11.750160145036553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E4A0-4EDA-B0DF-DBD2FC485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27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>
                    <a:effectLst/>
                  </a:rPr>
                  <a:t>billions of U.S. dollars</a:t>
                </a:r>
                <a:endParaRPr lang="en-ZA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GDP growth by sector'!$B$5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sector'!$B$6:$B$14</c:f>
              <c:numCache>
                <c:formatCode>0.0%</c:formatCode>
                <c:ptCount val="9"/>
                <c:pt idx="0">
                  <c:v>8.5342717472135288E-2</c:v>
                </c:pt>
                <c:pt idx="1">
                  <c:v>-6.0614888695437408E-2</c:v>
                </c:pt>
                <c:pt idx="2">
                  <c:v>-2.1109758771764797E-2</c:v>
                </c:pt>
                <c:pt idx="3">
                  <c:v>-1.4803408325227974E-2</c:v>
                </c:pt>
                <c:pt idx="4">
                  <c:v>-1.8141062294541044E-3</c:v>
                </c:pt>
                <c:pt idx="5">
                  <c:v>1.898730823014505E-3</c:v>
                </c:pt>
                <c:pt idx="6">
                  <c:v>7.7550466785396566E-3</c:v>
                </c:pt>
                <c:pt idx="7">
                  <c:v>3.4307312489896269E-3</c:v>
                </c:pt>
                <c:pt idx="8">
                  <c:v>1.6207323332371182E-3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B-4647-ABBD-5E1458A2EFCB}"/>
            </c:ext>
          </c:extLst>
        </c:ser>
        <c:ser>
          <c:idx val="1"/>
          <c:order val="1"/>
          <c:tx>
            <c:strRef>
              <c:f>'2. GDP growth by sector'!$C$5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sector'!$C$6:$C$14</c:f>
              <c:numCache>
                <c:formatCode>0.0%</c:formatCode>
                <c:ptCount val="9"/>
                <c:pt idx="0">
                  <c:v>5.1057504265475284E-2</c:v>
                </c:pt>
                <c:pt idx="1">
                  <c:v>-0.26488794054382869</c:v>
                </c:pt>
                <c:pt idx="2">
                  <c:v>-0.29088714990388265</c:v>
                </c:pt>
                <c:pt idx="3">
                  <c:v>-0.22952969879938401</c:v>
                </c:pt>
                <c:pt idx="4">
                  <c:v>-0.24574152239622082</c:v>
                </c:pt>
                <c:pt idx="5">
                  <c:v>-0.25667671093562805</c:v>
                </c:pt>
                <c:pt idx="6">
                  <c:v>-0.10449248565862757</c:v>
                </c:pt>
                <c:pt idx="7">
                  <c:v>-2.4817643595861361E-3</c:v>
                </c:pt>
                <c:pt idx="8">
                  <c:v>-9.0954008662829211E-2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B-4647-ABBD-5E1458A2EFCB}"/>
            </c:ext>
          </c:extLst>
        </c:ser>
        <c:ser>
          <c:idx val="2"/>
          <c:order val="2"/>
          <c:tx>
            <c:strRef>
              <c:f>'2. GDP growth by sector'!$D$5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sector'!$D$6:$D$14</c:f>
              <c:numCache>
                <c:formatCode>0.0%</c:formatCode>
                <c:ptCount val="9"/>
                <c:pt idx="0">
                  <c:v>4.676740251535505E-2</c:v>
                </c:pt>
                <c:pt idx="1">
                  <c:v>0.38804555646211947</c:v>
                </c:pt>
                <c:pt idx="2">
                  <c:v>0.33005038533143316</c:v>
                </c:pt>
                <c:pt idx="3">
                  <c:v>0.13591388064625143</c:v>
                </c:pt>
                <c:pt idx="4">
                  <c:v>0.24075244909732674</c:v>
                </c:pt>
                <c:pt idx="5">
                  <c:v>0.1552963992459464</c:v>
                </c:pt>
                <c:pt idx="6">
                  <c:v>3.9982675007718793E-2</c:v>
                </c:pt>
                <c:pt idx="7">
                  <c:v>2.3798255464764217E-3</c:v>
                </c:pt>
                <c:pt idx="8">
                  <c:v>8.5295747321395776E-2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B-4647-ABBD-5E1458A2EFCB}"/>
            </c:ext>
          </c:extLst>
        </c:ser>
        <c:ser>
          <c:idx val="3"/>
          <c:order val="3"/>
          <c:tx>
            <c:strRef>
              <c:f>'2. GDP growth by sector'!$E$5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sector'!$E$6:$E$14</c:f>
              <c:numCache>
                <c:formatCode>0.0%</c:formatCode>
                <c:ptCount val="9"/>
                <c:pt idx="0">
                  <c:v>1.4454177817773139E-2</c:v>
                </c:pt>
                <c:pt idx="1">
                  <c:v>-1.4569597507260723E-2</c:v>
                </c:pt>
                <c:pt idx="2">
                  <c:v>4.891834880445689E-2</c:v>
                </c:pt>
                <c:pt idx="3">
                  <c:v>1.747610935388022E-2</c:v>
                </c:pt>
                <c:pt idx="4">
                  <c:v>2.3672843249121556E-2</c:v>
                </c:pt>
                <c:pt idx="5">
                  <c:v>1.6308612110639054E-2</c:v>
                </c:pt>
                <c:pt idx="6">
                  <c:v>-5.9785116255783866E-4</c:v>
                </c:pt>
                <c:pt idx="7">
                  <c:v>1.7284660089957882E-3</c:v>
                </c:pt>
                <c:pt idx="8">
                  <c:v>1.1770332471450651E-2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AB-4647-ABBD-5E1458A2EFCB}"/>
            </c:ext>
          </c:extLst>
        </c:ser>
        <c:ser>
          <c:idx val="4"/>
          <c:order val="4"/>
          <c:tx>
            <c:strRef>
              <c:f>'2. GDP growth by sector'!$F$5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 w="19050">
              <a:solidFill>
                <a:sysClr val="windowText" lastClr="000000"/>
              </a:solidFill>
            </a:ln>
          </c:spPr>
          <c:invertIfNegative val="0"/>
          <c:cat>
            <c:strRef>
              <c:f>'2. GDP growth by sector'!$A$6:$A$14</c:f>
              <c:strCache>
                <c:ptCount val="9"/>
                <c:pt idx="0">
                  <c:v>Agriculture</c:v>
                </c:pt>
                <c:pt idx="1">
                  <c:v>Mining</c:v>
                </c:pt>
                <c:pt idx="2">
                  <c:v>Manufac-
turing</c:v>
                </c:pt>
                <c:pt idx="3">
                  <c:v>Construction 
and utilities</c:v>
                </c:pt>
                <c:pt idx="4">
                  <c:v>Trade</c:v>
                </c:pt>
                <c:pt idx="5">
                  <c:v>Transport &amp; 
telecoms</c:v>
                </c:pt>
                <c:pt idx="6">
                  <c:v>Business 
services</c:v>
                </c:pt>
                <c:pt idx="7">
                  <c:v>Government  
services</c:v>
                </c:pt>
                <c:pt idx="8">
                  <c:v>Personal 
services</c:v>
                </c:pt>
              </c:strCache>
            </c:strRef>
          </c:cat>
          <c:val>
            <c:numRef>
              <c:f>'2. GDP growth by sector'!$F$6:$F$14</c:f>
              <c:numCache>
                <c:formatCode>0.0%</c:formatCode>
                <c:ptCount val="9"/>
                <c:pt idx="0">
                  <c:v>-8.0447434983050847E-3</c:v>
                </c:pt>
                <c:pt idx="1">
                  <c:v>4.2443101625385227E-2</c:v>
                </c:pt>
                <c:pt idx="2">
                  <c:v>3.9879976545984519E-3</c:v>
                </c:pt>
                <c:pt idx="3">
                  <c:v>-1.6554761930456241E-3</c:v>
                </c:pt>
                <c:pt idx="4">
                  <c:v>1.5058276491593858E-2</c:v>
                </c:pt>
                <c:pt idx="5">
                  <c:v>1.1842999416620259E-2</c:v>
                </c:pt>
                <c:pt idx="6">
                  <c:v>1.8106536831630216E-2</c:v>
                </c:pt>
                <c:pt idx="7">
                  <c:v>2.1432592971419862E-3</c:v>
                </c:pt>
                <c:pt idx="8">
                  <c:v>4.2552269410589538E-3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AB-4647-ABBD-5E1458A2E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'16. Mining exports'!$C$5</c:f>
              <c:strCache>
                <c:ptCount val="1"/>
                <c:pt idx="0">
                  <c:v>unit price in US$</c:v>
                </c:pt>
              </c:strCache>
            </c:strRef>
          </c:tx>
          <c:spPr>
            <a:solidFill>
              <a:srgbClr val="1F497D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'16. Mining exports'!$A$6:$B$36</c:f>
              <c:multiLvlStrCache>
                <c:ptCount val="31"/>
                <c:lvl>
                  <c:pt idx="0">
                    <c:v>Q1 2019</c:v>
                  </c:pt>
                  <c:pt idx="2">
                    <c:v>Q1 2020</c:v>
                  </c:pt>
                  <c:pt idx="3">
                    <c:v>Q2 2020</c:v>
                  </c:pt>
                  <c:pt idx="4">
                    <c:v>Q3 2020</c:v>
                  </c:pt>
                  <c:pt idx="5">
                    <c:v>Q4 2020</c:v>
                  </c:pt>
                  <c:pt idx="6">
                    <c:v>Q1 2021</c:v>
                  </c:pt>
                  <c:pt idx="8">
                    <c:v>Q1 2019</c:v>
                  </c:pt>
                  <c:pt idx="10">
                    <c:v>Q1 2020</c:v>
                  </c:pt>
                  <c:pt idx="11">
                    <c:v>Q2 2020</c:v>
                  </c:pt>
                  <c:pt idx="12">
                    <c:v>Q3 2020</c:v>
                  </c:pt>
                  <c:pt idx="13">
                    <c:v>Q4 2020</c:v>
                  </c:pt>
                  <c:pt idx="14">
                    <c:v>Q1 2021</c:v>
                  </c:pt>
                  <c:pt idx="16">
                    <c:v>Q1 2019</c:v>
                  </c:pt>
                  <c:pt idx="18">
                    <c:v>Q1 2020</c:v>
                  </c:pt>
                  <c:pt idx="19">
                    <c:v>Q2 2020</c:v>
                  </c:pt>
                  <c:pt idx="20">
                    <c:v>Q3 2020</c:v>
                  </c:pt>
                  <c:pt idx="21">
                    <c:v>Q4 2020</c:v>
                  </c:pt>
                  <c:pt idx="22">
                    <c:v>Q1 2021</c:v>
                  </c:pt>
                  <c:pt idx="24">
                    <c:v>Q1 2019</c:v>
                  </c:pt>
                  <c:pt idx="26">
                    <c:v>Q1 2020</c:v>
                  </c:pt>
                  <c:pt idx="27">
                    <c:v>Q2 2020</c:v>
                  </c:pt>
                  <c:pt idx="28">
                    <c:v>Q3 2020</c:v>
                  </c:pt>
                  <c:pt idx="29">
                    <c:v>Q4 2020</c:v>
                  </c:pt>
                  <c:pt idx="30">
                    <c:v>Q1 2021</c:v>
                  </c:pt>
                </c:lvl>
                <c:lvl>
                  <c:pt idx="0">
                    <c:v>platinum</c:v>
                  </c:pt>
                  <c:pt idx="8">
                    <c:v>gold</c:v>
                  </c:pt>
                  <c:pt idx="16">
                    <c:v>iron ore</c:v>
                  </c:pt>
                  <c:pt idx="24">
                    <c:v>coal</c:v>
                  </c:pt>
                </c:lvl>
              </c:multiLvlStrCache>
            </c:multiLvlStrRef>
          </c:cat>
          <c:val>
            <c:numRef>
              <c:f>'16. Mining exports'!$C$6:$C$36</c:f>
              <c:numCache>
                <c:formatCode>0</c:formatCode>
                <c:ptCount val="31"/>
                <c:pt idx="0">
                  <c:v>77.94273579142444</c:v>
                </c:pt>
                <c:pt idx="2">
                  <c:v>104.23407192100289</c:v>
                </c:pt>
                <c:pt idx="3">
                  <c:v>107.62136647377235</c:v>
                </c:pt>
                <c:pt idx="4">
                  <c:v>115.10918080028991</c:v>
                </c:pt>
                <c:pt idx="5">
                  <c:v>146.73511263695286</c:v>
                </c:pt>
                <c:pt idx="6">
                  <c:v>155.87835463552784</c:v>
                </c:pt>
                <c:pt idx="8">
                  <c:v>90.618887484139975</c:v>
                </c:pt>
                <c:pt idx="10">
                  <c:v>111.90049063019723</c:v>
                </c:pt>
                <c:pt idx="11">
                  <c:v>117.34045575772348</c:v>
                </c:pt>
                <c:pt idx="12">
                  <c:v>127.6637255140591</c:v>
                </c:pt>
                <c:pt idx="13">
                  <c:v>131.49747189997382</c:v>
                </c:pt>
                <c:pt idx="14">
                  <c:v>134.60079110751923</c:v>
                </c:pt>
                <c:pt idx="16">
                  <c:v>57.428368438464751</c:v>
                </c:pt>
                <c:pt idx="18">
                  <c:v>60.627119569514086</c:v>
                </c:pt>
                <c:pt idx="19">
                  <c:v>62.252225299562944</c:v>
                </c:pt>
                <c:pt idx="20">
                  <c:v>72.471916342986148</c:v>
                </c:pt>
                <c:pt idx="21">
                  <c:v>86.968095393547841</c:v>
                </c:pt>
                <c:pt idx="22">
                  <c:v>108.97851610396201</c:v>
                </c:pt>
                <c:pt idx="24">
                  <c:v>66.389496774827421</c:v>
                </c:pt>
                <c:pt idx="26">
                  <c:v>62.02588847403392</c:v>
                </c:pt>
                <c:pt idx="27">
                  <c:v>41.844215951148975</c:v>
                </c:pt>
                <c:pt idx="28">
                  <c:v>43.979217451930126</c:v>
                </c:pt>
                <c:pt idx="29">
                  <c:v>53.0228691326705</c:v>
                </c:pt>
                <c:pt idx="30">
                  <c:v>69.064356200069327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A-455D-967F-C2B1AF906A36}"/>
            </c:ext>
          </c:extLst>
        </c:ser>
        <c:ser>
          <c:idx val="1"/>
          <c:order val="1"/>
          <c:tx>
            <c:strRef>
              <c:f>'16. Mining exports'!$D$5</c:f>
              <c:strCache>
                <c:ptCount val="1"/>
                <c:pt idx="0">
                  <c:v>quantity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'16. Mining exports'!$A$6:$B$36</c:f>
              <c:multiLvlStrCache>
                <c:ptCount val="31"/>
                <c:lvl>
                  <c:pt idx="0">
                    <c:v>Q1 2019</c:v>
                  </c:pt>
                  <c:pt idx="2">
                    <c:v>Q1 2020</c:v>
                  </c:pt>
                  <c:pt idx="3">
                    <c:v>Q2 2020</c:v>
                  </c:pt>
                  <c:pt idx="4">
                    <c:v>Q3 2020</c:v>
                  </c:pt>
                  <c:pt idx="5">
                    <c:v>Q4 2020</c:v>
                  </c:pt>
                  <c:pt idx="6">
                    <c:v>Q1 2021</c:v>
                  </c:pt>
                  <c:pt idx="8">
                    <c:v>Q1 2019</c:v>
                  </c:pt>
                  <c:pt idx="10">
                    <c:v>Q1 2020</c:v>
                  </c:pt>
                  <c:pt idx="11">
                    <c:v>Q2 2020</c:v>
                  </c:pt>
                  <c:pt idx="12">
                    <c:v>Q3 2020</c:v>
                  </c:pt>
                  <c:pt idx="13">
                    <c:v>Q4 2020</c:v>
                  </c:pt>
                  <c:pt idx="14">
                    <c:v>Q1 2021</c:v>
                  </c:pt>
                  <c:pt idx="16">
                    <c:v>Q1 2019</c:v>
                  </c:pt>
                  <c:pt idx="18">
                    <c:v>Q1 2020</c:v>
                  </c:pt>
                  <c:pt idx="19">
                    <c:v>Q2 2020</c:v>
                  </c:pt>
                  <c:pt idx="20">
                    <c:v>Q3 2020</c:v>
                  </c:pt>
                  <c:pt idx="21">
                    <c:v>Q4 2020</c:v>
                  </c:pt>
                  <c:pt idx="22">
                    <c:v>Q1 2021</c:v>
                  </c:pt>
                  <c:pt idx="24">
                    <c:v>Q1 2019</c:v>
                  </c:pt>
                  <c:pt idx="26">
                    <c:v>Q1 2020</c:v>
                  </c:pt>
                  <c:pt idx="27">
                    <c:v>Q2 2020</c:v>
                  </c:pt>
                  <c:pt idx="28">
                    <c:v>Q3 2020</c:v>
                  </c:pt>
                  <c:pt idx="29">
                    <c:v>Q4 2020</c:v>
                  </c:pt>
                  <c:pt idx="30">
                    <c:v>Q1 2021</c:v>
                  </c:pt>
                </c:lvl>
                <c:lvl>
                  <c:pt idx="0">
                    <c:v>platinum</c:v>
                  </c:pt>
                  <c:pt idx="8">
                    <c:v>gold</c:v>
                  </c:pt>
                  <c:pt idx="16">
                    <c:v>iron ore</c:v>
                  </c:pt>
                  <c:pt idx="24">
                    <c:v>coal</c:v>
                  </c:pt>
                </c:lvl>
              </c:multiLvlStrCache>
            </c:multiLvlStrRef>
          </c:cat>
          <c:val>
            <c:numRef>
              <c:f>'16. Mining exports'!$D$6:$D$36</c:f>
              <c:numCache>
                <c:formatCode>_-* #\ ##0_-;\-* #\ ##0_-;_-* "-"??_-;_-@_-</c:formatCode>
                <c:ptCount val="31"/>
                <c:pt idx="0">
                  <c:v>77.349006760771459</c:v>
                </c:pt>
                <c:pt idx="2">
                  <c:v>85.542226718697307</c:v>
                </c:pt>
                <c:pt idx="3">
                  <c:v>68.278974161327099</c:v>
                </c:pt>
                <c:pt idx="4">
                  <c:v>98.663904546257484</c:v>
                </c:pt>
                <c:pt idx="5">
                  <c:v>93.748293748293747</c:v>
                </c:pt>
                <c:pt idx="6">
                  <c:v>104.76144593791652</c:v>
                </c:pt>
                <c:pt idx="8">
                  <c:v>52.212463755935623</c:v>
                </c:pt>
                <c:pt idx="10">
                  <c:v>66.281464050090349</c:v>
                </c:pt>
                <c:pt idx="11">
                  <c:v>45.348153128545619</c:v>
                </c:pt>
                <c:pt idx="12">
                  <c:v>70.422742362482666</c:v>
                </c:pt>
                <c:pt idx="13">
                  <c:v>72.971382947430357</c:v>
                </c:pt>
                <c:pt idx="14">
                  <c:v>62.789427238727569</c:v>
                </c:pt>
                <c:pt idx="16">
                  <c:v>133.39107740193029</c:v>
                </c:pt>
                <c:pt idx="18">
                  <c:v>136.97828350314947</c:v>
                </c:pt>
                <c:pt idx="19">
                  <c:v>100.19652113636177</c:v>
                </c:pt>
                <c:pt idx="20">
                  <c:v>128.02645980555951</c:v>
                </c:pt>
                <c:pt idx="21">
                  <c:v>132.86106991133616</c:v>
                </c:pt>
                <c:pt idx="22">
                  <c:v>121.54301650735997</c:v>
                </c:pt>
                <c:pt idx="24">
                  <c:v>125.99415129244831</c:v>
                </c:pt>
                <c:pt idx="26">
                  <c:v>117.18290664006679</c:v>
                </c:pt>
                <c:pt idx="27">
                  <c:v>107.90488725797648</c:v>
                </c:pt>
                <c:pt idx="28">
                  <c:v>122.6915873657654</c:v>
                </c:pt>
                <c:pt idx="29">
                  <c:v>127.37419772238985</c:v>
                </c:pt>
                <c:pt idx="30">
                  <c:v>101.0221650296975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A-455D-967F-C2B1AF906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3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Q1 2011 = 100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Imports in billions of constant rand</a:t>
            </a:r>
            <a:endParaRPr lang="en-ZA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'17. Imports by sector'!$A$5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7-4AD1-A7AE-8CAFF646252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7-4AD1-A7AE-8CAFF646252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77-4AD1-A7AE-8CAFF646252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77-4AD1-A7AE-8CAFF646252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77-4AD1-A7AE-8CAFF646252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77-4AD1-A7AE-8CAFF6462527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77-4AD1-A7AE-8CAFF646252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77-4AD1-A7AE-8CAFF646252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77-4AD1-A7AE-8CAFF646252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77-4AD1-A7AE-8CAFF6462527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77-4AD1-A7AE-8CAFF6462527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77-4AD1-A7AE-8CAFF646252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77-4AD1-A7AE-8CAFF6462527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77-4AD1-A7AE-8CAFF646252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077-4AD1-A7AE-8CAFF6462527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077-4AD1-A7AE-8CAFF6462527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077-4AD1-A7AE-8CAFF6462527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077-4AD1-A7AE-8CAFF646252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5077-4AD1-A7AE-8CAFF6462527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077-4AD1-A7AE-8CAFF646252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77-4AD1-A7AE-8CAFF646252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077-4AD1-A7AE-8CAFF6462527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5077-4AD1-A7AE-8CAFF6462527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5077-4AD1-A7AE-8CAFF646252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5077-4AD1-A7AE-8CAFF6462527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5077-4AD1-A7AE-8CAFF6462527}"/>
              </c:ext>
            </c:extLst>
          </c:dPt>
          <c:cat>
            <c:multiLvlStrRef>
              <c:f>'17. Imports by sector'!$B$3:$AM$4</c:f>
              <c:multiLvlStrCache>
                <c:ptCount val="38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  <c:pt idx="37">
                    <c:v>2021</c:v>
                  </c:pt>
                </c:lvl>
                <c:lvl>
                  <c:pt idx="0">
                    <c:v>Agriculture</c:v>
                  </c:pt>
                  <c:pt idx="13">
                    <c:v>Mining</c:v>
                  </c:pt>
                  <c:pt idx="26">
                    <c:v>Manufacturing</c:v>
                  </c:pt>
                </c:lvl>
              </c:multiLvlStrCache>
            </c:multiLvlStrRef>
          </c:cat>
          <c:val>
            <c:numRef>
              <c:f>'17. Imports by sector'!$B$5:$AM$5</c:f>
              <c:numCache>
                <c:formatCode>_ * #\ ##0_ ;_ * \-#\ ##0_ ;_ * "-"??_ ;_ @_ </c:formatCode>
                <c:ptCount val="38"/>
                <c:pt idx="0">
                  <c:v>6.0789477958792535</c:v>
                </c:pt>
                <c:pt idx="1">
                  <c:v>7.2282263279445713</c:v>
                </c:pt>
                <c:pt idx="2">
                  <c:v>9.2066613745106576</c:v>
                </c:pt>
                <c:pt idx="3">
                  <c:v>8.820286683107275</c:v>
                </c:pt>
                <c:pt idx="4">
                  <c:v>10.540657802795028</c:v>
                </c:pt>
                <c:pt idx="5">
                  <c:v>11.976005588673623</c:v>
                </c:pt>
                <c:pt idx="6">
                  <c:v>15.74156486013986</c:v>
                </c:pt>
                <c:pt idx="7">
                  <c:v>13.037685221674876</c:v>
                </c:pt>
                <c:pt idx="8">
                  <c:v>12.189388485804415</c:v>
                </c:pt>
                <c:pt idx="9">
                  <c:v>10.666614441416892</c:v>
                </c:pt>
                <c:pt idx="10">
                  <c:v>11.387544215714701</c:v>
                </c:pt>
                <c:pt idx="11">
                  <c:v>11.516299999999999</c:v>
                </c:pt>
                <c:pt idx="13">
                  <c:v>50.174660182079542</c:v>
                </c:pt>
                <c:pt idx="14">
                  <c:v>57.823019168591209</c:v>
                </c:pt>
                <c:pt idx="15">
                  <c:v>77.817233579817312</c:v>
                </c:pt>
                <c:pt idx="16">
                  <c:v>80.427162762022178</c:v>
                </c:pt>
                <c:pt idx="17">
                  <c:v>99.545106172360235</c:v>
                </c:pt>
                <c:pt idx="18">
                  <c:v>68.078382451564849</c:v>
                </c:pt>
                <c:pt idx="19">
                  <c:v>45.303130069930063</c:v>
                </c:pt>
                <c:pt idx="20">
                  <c:v>53.392247290640391</c:v>
                </c:pt>
                <c:pt idx="21">
                  <c:v>64.764137697160891</c:v>
                </c:pt>
                <c:pt idx="22">
                  <c:v>59.358705722070837</c:v>
                </c:pt>
                <c:pt idx="23">
                  <c:v>59.746366917947228</c:v>
                </c:pt>
                <c:pt idx="24">
                  <c:v>50.594999999999999</c:v>
                </c:pt>
                <c:pt idx="26">
                  <c:v>177.0937132726402</c:v>
                </c:pt>
                <c:pt idx="27">
                  <c:v>200.2003586605081</c:v>
                </c:pt>
                <c:pt idx="28">
                  <c:v>219.2516483253589</c:v>
                </c:pt>
                <c:pt idx="29">
                  <c:v>234.39124660912452</c:v>
                </c:pt>
                <c:pt idx="30">
                  <c:v>260.05087208850927</c:v>
                </c:pt>
                <c:pt idx="31">
                  <c:v>274.20136195976153</c:v>
                </c:pt>
                <c:pt idx="32">
                  <c:v>279.9305197552448</c:v>
                </c:pt>
                <c:pt idx="33">
                  <c:v>241.45151379310349</c:v>
                </c:pt>
                <c:pt idx="34">
                  <c:v>245.35970772870661</c:v>
                </c:pt>
                <c:pt idx="35">
                  <c:v>248.88648637602179</c:v>
                </c:pt>
                <c:pt idx="36">
                  <c:v>231.08303972165848</c:v>
                </c:pt>
                <c:pt idx="37">
                  <c:v>250.38930000000002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5077-4AD1-A7AE-8CAFF6462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51143215"/>
        <c:axId val="1051147791"/>
      </c:barChart>
      <c:catAx>
        <c:axId val="105114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7791"/>
        <c:crosses val="autoZero"/>
        <c:auto val="1"/>
        <c:lblAlgn val="ctr"/>
        <c:lblOffset val="100"/>
        <c:noMultiLvlLbl val="0"/>
      </c:catAx>
      <c:valAx>
        <c:axId val="105114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billions of constant (2020) rand</a:t>
                </a:r>
                <a:endParaRPr lang="en-ZA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Imports in billions of U.S. dollars</a:t>
            </a:r>
            <a:endParaRPr lang="en-ZA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'17. Imports by sector'!$A$9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D2-483E-B659-7B415B13EBD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D2-483E-B659-7B415B13EBD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D2-483E-B659-7B415B13EBD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D2-483E-B659-7B415B13EBD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D2-483E-B659-7B415B13EBD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D2-483E-B659-7B415B13EBD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D2-483E-B659-7B415B13EBD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FD2-483E-B659-7B415B13EBD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FD2-483E-B659-7B415B13EBD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FD2-483E-B659-7B415B13EB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FD2-483E-B659-7B415B13EB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FD2-483E-B659-7B415B13EBD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FD2-483E-B659-7B415B13EBD1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FD2-483E-B659-7B415B13EBD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FD2-483E-B659-7B415B13EBD1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FD2-483E-B659-7B415B13EBD1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FD2-483E-B659-7B415B13EBD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FD2-483E-B659-7B415B13EBD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FD2-483E-B659-7B415B13EBD1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FD2-483E-B659-7B415B13EBD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FD2-483E-B659-7B415B13EBD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BFD2-483E-B659-7B415B13EBD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FD2-483E-B659-7B415B13EBD1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BFD2-483E-B659-7B415B13EBD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BFD2-483E-B659-7B415B13EBD1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BFD2-483E-B659-7B415B13EBD1}"/>
              </c:ext>
            </c:extLst>
          </c:dPt>
          <c:cat>
            <c:multiLvlStrRef>
              <c:f>'17. Imports by sector'!$B$7:$AM$8</c:f>
              <c:multiLvlStrCache>
                <c:ptCount val="38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</c:v>
                  </c:pt>
                  <c:pt idx="24">
                    <c:v>2021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</c:v>
                  </c:pt>
                  <c:pt idx="32">
                    <c:v>2016</c:v>
                  </c:pt>
                  <c:pt idx="33">
                    <c:v>2017</c:v>
                  </c:pt>
                  <c:pt idx="34">
                    <c:v>2018</c:v>
                  </c:pt>
                  <c:pt idx="35">
                    <c:v>2019</c:v>
                  </c:pt>
                  <c:pt idx="36">
                    <c:v>2020</c:v>
                  </c:pt>
                  <c:pt idx="37">
                    <c:v>2021</c:v>
                  </c:pt>
                </c:lvl>
                <c:lvl>
                  <c:pt idx="0">
                    <c:v>Agriculture</c:v>
                  </c:pt>
                  <c:pt idx="13">
                    <c:v>Mining</c:v>
                  </c:pt>
                  <c:pt idx="26">
                    <c:v>Manufacturing</c:v>
                  </c:pt>
                </c:lvl>
              </c:multiLvlStrCache>
            </c:multiLvlStrRef>
          </c:cat>
          <c:val>
            <c:numRef>
              <c:f>'17. Imports by sector'!$B$9:$AM$9</c:f>
              <c:numCache>
                <c:formatCode>_ * #\ ##0_ ;_ * \-#\ ##0_ ;_ * "-"??_ ;_ @_ </c:formatCode>
                <c:ptCount val="38"/>
                <c:pt idx="0">
                  <c:v>0.47553398927780893</c:v>
                </c:pt>
                <c:pt idx="1">
                  <c:v>0.62894148582840304</c:v>
                </c:pt>
                <c:pt idx="2">
                  <c:v>0.76787097602958887</c:v>
                </c:pt>
                <c:pt idx="3">
                  <c:v>0.6741079112971875</c:v>
                </c:pt>
                <c:pt idx="4">
                  <c:v>0.70377853168125626</c:v>
                </c:pt>
                <c:pt idx="5">
                  <c:v>0.77103840434335225</c:v>
                </c:pt>
                <c:pt idx="6">
                  <c:v>0.80284696393420407</c:v>
                </c:pt>
                <c:pt idx="7">
                  <c:v>0.84381580892786046</c:v>
                </c:pt>
                <c:pt idx="8">
                  <c:v>0.90935344281717745</c:v>
                </c:pt>
                <c:pt idx="9">
                  <c:v>0.70713582921885521</c:v>
                </c:pt>
                <c:pt idx="10">
                  <c:v>0.71581350020257284</c:v>
                </c:pt>
                <c:pt idx="11">
                  <c:v>0.76983341652042026</c:v>
                </c:pt>
                <c:pt idx="13">
                  <c:v>3.9160434494983116</c:v>
                </c:pt>
                <c:pt idx="14">
                  <c:v>5.0175871778677692</c:v>
                </c:pt>
                <c:pt idx="15">
                  <c:v>6.5079971558652696</c:v>
                </c:pt>
                <c:pt idx="16">
                  <c:v>6.1605370788630944</c:v>
                </c:pt>
                <c:pt idx="17">
                  <c:v>6.6442942886785952</c:v>
                </c:pt>
                <c:pt idx="18">
                  <c:v>4.383035636035971</c:v>
                </c:pt>
                <c:pt idx="19">
                  <c:v>2.3055791005026309</c:v>
                </c:pt>
                <c:pt idx="20">
                  <c:v>3.4582006534708096</c:v>
                </c:pt>
                <c:pt idx="21">
                  <c:v>4.8234739512430362</c:v>
                </c:pt>
                <c:pt idx="22">
                  <c:v>3.9302595069292776</c:v>
                </c:pt>
                <c:pt idx="23">
                  <c:v>3.7926495369319002</c:v>
                </c:pt>
                <c:pt idx="24">
                  <c:v>3.3870036211145296</c:v>
                </c:pt>
                <c:pt idx="26">
                  <c:v>13.846584606691174</c:v>
                </c:pt>
                <c:pt idx="27">
                  <c:v>17.443478351921943</c:v>
                </c:pt>
                <c:pt idx="28">
                  <c:v>18.270020818566614</c:v>
                </c:pt>
                <c:pt idx="29">
                  <c:v>17.940424496653691</c:v>
                </c:pt>
                <c:pt idx="30">
                  <c:v>17.341503772006099</c:v>
                </c:pt>
                <c:pt idx="31">
                  <c:v>17.639936337116541</c:v>
                </c:pt>
                <c:pt idx="32">
                  <c:v>14.225363760486621</c:v>
                </c:pt>
                <c:pt idx="33">
                  <c:v>15.630675044413584</c:v>
                </c:pt>
                <c:pt idx="34">
                  <c:v>18.283798499390809</c:v>
                </c:pt>
                <c:pt idx="35">
                  <c:v>16.508694174137997</c:v>
                </c:pt>
                <c:pt idx="36">
                  <c:v>14.712579008230856</c:v>
                </c:pt>
                <c:pt idx="37">
                  <c:v>16.737909396551185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BFD2-483E-B659-7B415B13E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51144463"/>
        <c:axId val="1051144879"/>
      </c:barChart>
      <c:catAx>
        <c:axId val="105114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4879"/>
        <c:crosses val="autoZero"/>
        <c:auto val="1"/>
        <c:lblAlgn val="ctr"/>
        <c:lblOffset val="100"/>
        <c:noMultiLvlLbl val="0"/>
      </c:catAx>
      <c:valAx>
        <c:axId val="105114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billions of U.S. dollars</a:t>
                </a:r>
                <a:endParaRPr lang="en-ZA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4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'18. Investment by organisation'!$A$6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'18. Investment by organisation'!$B$5:$K$5</c:f>
              <c:strCache>
                <c:ptCount val="10"/>
                <c:pt idx="0">
                  <c:v>Q4 2018</c:v>
                </c:pt>
                <c:pt idx="1">
                  <c:v>Q1 2019</c:v>
                </c:pt>
                <c:pt idx="2">
                  <c:v>Q2 2019</c:v>
                </c:pt>
                <c:pt idx="3">
                  <c:v>Q3 2019</c:v>
                </c:pt>
                <c:pt idx="4">
                  <c:v>Q4 2019</c:v>
                </c:pt>
                <c:pt idx="5">
                  <c:v>Q1 2020</c:v>
                </c:pt>
                <c:pt idx="6">
                  <c:v>Q2 2020</c:v>
                </c:pt>
                <c:pt idx="7">
                  <c:v>Q3 2020</c:v>
                </c:pt>
                <c:pt idx="8">
                  <c:v>Q4 2020</c:v>
                </c:pt>
                <c:pt idx="9">
                  <c:v>Q1 2021</c:v>
                </c:pt>
              </c:strCache>
            </c:strRef>
          </c:cat>
          <c:val>
            <c:numRef>
              <c:f>'18. Investment by organisation'!$B$6:$K$6</c:f>
              <c:numCache>
                <c:formatCode>_-* #\ ##0_-;\-* #\ ##0_-;_-* "-"??_-;_-@_-</c:formatCode>
                <c:ptCount val="10"/>
                <c:pt idx="0">
                  <c:v>39.070885127727834</c:v>
                </c:pt>
                <c:pt idx="1">
                  <c:v>38.856030780723835</c:v>
                </c:pt>
                <c:pt idx="2">
                  <c:v>37.164540415730094</c:v>
                </c:pt>
                <c:pt idx="3">
                  <c:v>35.616469590926549</c:v>
                </c:pt>
                <c:pt idx="4">
                  <c:v>33.93510387916011</c:v>
                </c:pt>
                <c:pt idx="5">
                  <c:v>34.498042170215989</c:v>
                </c:pt>
                <c:pt idx="6">
                  <c:v>35.589524912529413</c:v>
                </c:pt>
                <c:pt idx="7">
                  <c:v>36.257952522894627</c:v>
                </c:pt>
                <c:pt idx="8">
                  <c:v>37.303474695727864</c:v>
                </c:pt>
                <c:pt idx="9">
                  <c:v>38.566149002628407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9-48D0-B779-1F3D1709B809}"/>
            </c:ext>
          </c:extLst>
        </c:ser>
        <c:ser>
          <c:idx val="2"/>
          <c:order val="1"/>
          <c:tx>
            <c:strRef>
              <c:f>'18. Investment by organisation'!$A$7</c:f>
              <c:strCache>
                <c:ptCount val="1"/>
                <c:pt idx="0">
                  <c:v>SOC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'18. Investment by organisation'!$B$5:$K$5</c:f>
              <c:strCache>
                <c:ptCount val="10"/>
                <c:pt idx="0">
                  <c:v>Q4 2018</c:v>
                </c:pt>
                <c:pt idx="1">
                  <c:v>Q1 2019</c:v>
                </c:pt>
                <c:pt idx="2">
                  <c:v>Q2 2019</c:v>
                </c:pt>
                <c:pt idx="3">
                  <c:v>Q3 2019</c:v>
                </c:pt>
                <c:pt idx="4">
                  <c:v>Q4 2019</c:v>
                </c:pt>
                <c:pt idx="5">
                  <c:v>Q1 2020</c:v>
                </c:pt>
                <c:pt idx="6">
                  <c:v>Q2 2020</c:v>
                </c:pt>
                <c:pt idx="7">
                  <c:v>Q3 2020</c:v>
                </c:pt>
                <c:pt idx="8">
                  <c:v>Q4 2020</c:v>
                </c:pt>
                <c:pt idx="9">
                  <c:v>Q1 2021</c:v>
                </c:pt>
              </c:strCache>
            </c:strRef>
          </c:cat>
          <c:val>
            <c:numRef>
              <c:f>'18. Investment by organisation'!$B$7:$K$7</c:f>
              <c:numCache>
                <c:formatCode>_-* #\ ##0_-;\-* #\ ##0_-;_-* "-"??_-;_-@_-</c:formatCode>
                <c:ptCount val="10"/>
                <c:pt idx="0">
                  <c:v>34.523398518929362</c:v>
                </c:pt>
                <c:pt idx="1">
                  <c:v>35.852773955521215</c:v>
                </c:pt>
                <c:pt idx="2">
                  <c:v>34.722580193366497</c:v>
                </c:pt>
                <c:pt idx="3">
                  <c:v>34.785440302153894</c:v>
                </c:pt>
                <c:pt idx="4">
                  <c:v>34.763270566126643</c:v>
                </c:pt>
                <c:pt idx="5">
                  <c:v>35.730789314624595</c:v>
                </c:pt>
                <c:pt idx="6">
                  <c:v>23.112637738459203</c:v>
                </c:pt>
                <c:pt idx="7">
                  <c:v>21.827430205738715</c:v>
                </c:pt>
                <c:pt idx="8">
                  <c:v>24.448377138872846</c:v>
                </c:pt>
                <c:pt idx="9">
                  <c:v>25.054180748689468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9-48D0-B779-1F3D1709B809}"/>
            </c:ext>
          </c:extLst>
        </c:ser>
        <c:ser>
          <c:idx val="1"/>
          <c:order val="2"/>
          <c:tx>
            <c:strRef>
              <c:f>'18. Investment by organisation'!$A$8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'18. Investment by organisation'!$B$5:$K$5</c:f>
              <c:strCache>
                <c:ptCount val="10"/>
                <c:pt idx="0">
                  <c:v>Q4 2018</c:v>
                </c:pt>
                <c:pt idx="1">
                  <c:v>Q1 2019</c:v>
                </c:pt>
                <c:pt idx="2">
                  <c:v>Q2 2019</c:v>
                </c:pt>
                <c:pt idx="3">
                  <c:v>Q3 2019</c:v>
                </c:pt>
                <c:pt idx="4">
                  <c:v>Q4 2019</c:v>
                </c:pt>
                <c:pt idx="5">
                  <c:v>Q1 2020</c:v>
                </c:pt>
                <c:pt idx="6">
                  <c:v>Q2 2020</c:v>
                </c:pt>
                <c:pt idx="7">
                  <c:v>Q3 2020</c:v>
                </c:pt>
                <c:pt idx="8">
                  <c:v>Q4 2020</c:v>
                </c:pt>
                <c:pt idx="9">
                  <c:v>Q1 2021</c:v>
                </c:pt>
              </c:strCache>
            </c:strRef>
          </c:cat>
          <c:val>
            <c:numRef>
              <c:f>'18. Investment by organisation'!$B$8:$K$8</c:f>
              <c:numCache>
                <c:formatCode>_-* #\ ##0_-;\-* #\ ##0_-;_-* "-"??_-;_-@_-</c:formatCode>
                <c:ptCount val="10"/>
                <c:pt idx="0">
                  <c:v>171.69834129830903</c:v>
                </c:pt>
                <c:pt idx="1">
                  <c:v>167.99062652178415</c:v>
                </c:pt>
                <c:pt idx="2">
                  <c:v>174.33471471711377</c:v>
                </c:pt>
                <c:pt idx="3">
                  <c:v>178.32680979680589</c:v>
                </c:pt>
                <c:pt idx="4">
                  <c:v>173.5536333116913</c:v>
                </c:pt>
                <c:pt idx="5">
                  <c:v>159.70545831125557</c:v>
                </c:pt>
                <c:pt idx="6">
                  <c:v>124.90003326938871</c:v>
                </c:pt>
                <c:pt idx="7">
                  <c:v>136.84319583022466</c:v>
                </c:pt>
                <c:pt idx="8">
                  <c:v>138.77641590050104</c:v>
                </c:pt>
                <c:pt idx="9">
                  <c:v>135.58154244996038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9-48D0-B779-1F3D1709B80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25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billions of constant (2020) rand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'19. Quarterly investment'!$E$5</c:f>
              <c:strCache>
                <c:ptCount val="1"/>
                <c:pt idx="0">
                  <c:v>Investment as % of GDP (right axis)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ln w="22225">
              <a:noFill/>
            </a:ln>
          </c:spPr>
          <c:invertIfNegative val="0"/>
          <c:cat>
            <c:numRef>
              <c:f>'19. Quarterly investment'!$A$6:$A$50</c:f>
              <c:numCache>
                <c:formatCode>General</c:formatCode>
                <c:ptCount val="45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'19. Quarterly investment'!$E$6:$E$50</c:f>
              <c:numCache>
                <c:formatCode>0%</c:formatCode>
                <c:ptCount val="45"/>
                <c:pt idx="0">
                  <c:v>0.19979433245154293</c:v>
                </c:pt>
                <c:pt idx="1">
                  <c:v>0.19586012303064093</c:v>
                </c:pt>
                <c:pt idx="2">
                  <c:v>0.19063636510400808</c:v>
                </c:pt>
                <c:pt idx="3">
                  <c:v>0.18497645030722168</c:v>
                </c:pt>
                <c:pt idx="4">
                  <c:v>0.19026974274644531</c:v>
                </c:pt>
                <c:pt idx="5">
                  <c:v>0.19001082519605819</c:v>
                </c:pt>
                <c:pt idx="6">
                  <c:v>0.19115693357492239</c:v>
                </c:pt>
                <c:pt idx="7">
                  <c:v>0.19339872663384206</c:v>
                </c:pt>
                <c:pt idx="8">
                  <c:v>0.19196016408470856</c:v>
                </c:pt>
                <c:pt idx="9">
                  <c:v>0.19541007100253607</c:v>
                </c:pt>
                <c:pt idx="10">
                  <c:v>0.19164099549741889</c:v>
                </c:pt>
                <c:pt idx="11">
                  <c:v>0.19217117973652365</c:v>
                </c:pt>
                <c:pt idx="12">
                  <c:v>0.19629451414615792</c:v>
                </c:pt>
                <c:pt idx="13">
                  <c:v>0.20084544286450376</c:v>
                </c:pt>
                <c:pt idx="14">
                  <c:v>0.2087589501378814</c:v>
                </c:pt>
                <c:pt idx="15">
                  <c:v>0.20853676921251052</c:v>
                </c:pt>
                <c:pt idx="16">
                  <c:v>0.20801952941276602</c:v>
                </c:pt>
                <c:pt idx="17">
                  <c:v>0.20250901174820551</c:v>
                </c:pt>
                <c:pt idx="18">
                  <c:v>0.20373719474820587</c:v>
                </c:pt>
                <c:pt idx="19">
                  <c:v>0.20342451438937467</c:v>
                </c:pt>
                <c:pt idx="20">
                  <c:v>0.20439360556303215</c:v>
                </c:pt>
                <c:pt idx="21">
                  <c:v>0.20116461470464056</c:v>
                </c:pt>
                <c:pt idx="22">
                  <c:v>0.20689686956317352</c:v>
                </c:pt>
                <c:pt idx="23">
                  <c:v>0.20148514586260347</c:v>
                </c:pt>
                <c:pt idx="24">
                  <c:v>0.20099806067865694</c:v>
                </c:pt>
                <c:pt idx="25">
                  <c:v>0.19516621735264747</c:v>
                </c:pt>
                <c:pt idx="26">
                  <c:v>0.19048178042922914</c:v>
                </c:pt>
                <c:pt idx="27">
                  <c:v>0.1923561846865863</c:v>
                </c:pt>
                <c:pt idx="28">
                  <c:v>0.19006287150863974</c:v>
                </c:pt>
                <c:pt idx="29">
                  <c:v>0.18981103226262602</c:v>
                </c:pt>
                <c:pt idx="30">
                  <c:v>0.18219842555226895</c:v>
                </c:pt>
                <c:pt idx="31">
                  <c:v>0.18773396412245805</c:v>
                </c:pt>
                <c:pt idx="32">
                  <c:v>0.1860741583368683</c:v>
                </c:pt>
                <c:pt idx="33">
                  <c:v>0.1807566784706735</c:v>
                </c:pt>
                <c:pt idx="34">
                  <c:v>0.18145014323661163</c:v>
                </c:pt>
                <c:pt idx="35">
                  <c:v>0.18295910147727759</c:v>
                </c:pt>
                <c:pt idx="36">
                  <c:v>0.18013054387156768</c:v>
                </c:pt>
                <c:pt idx="37">
                  <c:v>0.18129666823551221</c:v>
                </c:pt>
                <c:pt idx="38">
                  <c:v>0.18074512720714173</c:v>
                </c:pt>
                <c:pt idx="39">
                  <c:v>0.17655387239774106</c:v>
                </c:pt>
                <c:pt idx="40">
                  <c:v>0.16706972471599002</c:v>
                </c:pt>
                <c:pt idx="41">
                  <c:v>0.16012767177504098</c:v>
                </c:pt>
                <c:pt idx="42">
                  <c:v>0.15072390054442511</c:v>
                </c:pt>
                <c:pt idx="43">
                  <c:v>0.15391453423335416</c:v>
                </c:pt>
                <c:pt idx="44">
                  <c:v>0.1477003341135131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E-4CA0-BF99-2A6CE1C4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axId val="1230838383"/>
        <c:axId val="1230837135"/>
      </c:barChart>
      <c:lineChart>
        <c:grouping val="standard"/>
        <c:varyColors val="0"/>
        <c:ser>
          <c:idx val="0"/>
          <c:order val="0"/>
          <c:tx>
            <c:strRef>
              <c:f>'19. Quarterly investment'!$B$5</c:f>
              <c:strCache>
                <c:ptCount val="1"/>
                <c:pt idx="0">
                  <c:v>Private business enterprises (R bns)</c:v>
                </c:pt>
              </c:strCache>
            </c:strRef>
          </c:tx>
          <c:spPr>
            <a:ln w="22225">
              <a:solidFill>
                <a:srgbClr val="C0504D">
                  <a:lumMod val="60000"/>
                  <a:lumOff val="40000"/>
                  <a:alpha val="69000"/>
                </a:srgbClr>
              </a:solidFill>
            </a:ln>
          </c:spPr>
          <c:marker>
            <c:symbol val="triangle"/>
            <c:size val="5"/>
            <c:spPr>
              <a:solidFill>
                <a:srgbClr val="C0504D">
                  <a:lumMod val="75000"/>
                </a:srgbClr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'19. Quarterly investment'!$A$6:$A$50</c:f>
              <c:numCache>
                <c:formatCode>General</c:formatCode>
                <c:ptCount val="45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'19. Quarterly investment'!$B$6:$B$50</c:f>
              <c:numCache>
                <c:formatCode>_-* #\ ##0_-;\-* #\ ##0_-;_-* "-"??_-;_-@_-</c:formatCode>
                <c:ptCount val="45"/>
                <c:pt idx="0">
                  <c:v>336.67274276321075</c:v>
                </c:pt>
                <c:pt idx="1">
                  <c:v>342.52157839511108</c:v>
                </c:pt>
                <c:pt idx="2">
                  <c:v>342.81080797787348</c:v>
                </c:pt>
                <c:pt idx="3">
                  <c:v>344.06287086380485</c:v>
                </c:pt>
                <c:pt idx="4">
                  <c:v>357.48613495183423</c:v>
                </c:pt>
                <c:pt idx="5">
                  <c:v>364.4151756462399</c:v>
                </c:pt>
                <c:pt idx="6">
                  <c:v>377.82096130536502</c:v>
                </c:pt>
                <c:pt idx="7">
                  <c:v>379.68619154588293</c:v>
                </c:pt>
                <c:pt idx="8">
                  <c:v>372.97112322271869</c:v>
                </c:pt>
                <c:pt idx="9">
                  <c:v>379.33844309003854</c:v>
                </c:pt>
                <c:pt idx="10">
                  <c:v>371.37318148163359</c:v>
                </c:pt>
                <c:pt idx="11">
                  <c:v>374.13710118463399</c:v>
                </c:pt>
                <c:pt idx="12">
                  <c:v>386.93294892854243</c:v>
                </c:pt>
                <c:pt idx="13">
                  <c:v>396.98990783108911</c:v>
                </c:pt>
                <c:pt idx="14">
                  <c:v>411.72223367629726</c:v>
                </c:pt>
                <c:pt idx="15">
                  <c:v>415.07888582804333</c:v>
                </c:pt>
                <c:pt idx="16">
                  <c:v>409.79662181731902</c:v>
                </c:pt>
                <c:pt idx="17">
                  <c:v>400.8068480759959</c:v>
                </c:pt>
                <c:pt idx="18">
                  <c:v>408.37266752599493</c:v>
                </c:pt>
                <c:pt idx="19">
                  <c:v>417.24518800106779</c:v>
                </c:pt>
                <c:pt idx="20">
                  <c:v>411.95918549136121</c:v>
                </c:pt>
                <c:pt idx="21">
                  <c:v>405.21130858632858</c:v>
                </c:pt>
                <c:pt idx="22">
                  <c:v>410.79108433801366</c:v>
                </c:pt>
                <c:pt idx="23">
                  <c:v>392.89829790652988</c:v>
                </c:pt>
                <c:pt idx="24">
                  <c:v>394.48438324596538</c:v>
                </c:pt>
                <c:pt idx="25">
                  <c:v>389.30485564088696</c:v>
                </c:pt>
                <c:pt idx="26">
                  <c:v>386.47656481720054</c:v>
                </c:pt>
                <c:pt idx="27">
                  <c:v>402.85764492787268</c:v>
                </c:pt>
                <c:pt idx="28">
                  <c:v>403.28013425595549</c:v>
                </c:pt>
                <c:pt idx="29">
                  <c:v>412.33210660423288</c:v>
                </c:pt>
                <c:pt idx="30">
                  <c:v>407.67891381912381</c:v>
                </c:pt>
                <c:pt idx="31">
                  <c:v>428.69544910851272</c:v>
                </c:pt>
                <c:pt idx="32">
                  <c:v>421.36950872802709</c:v>
                </c:pt>
                <c:pt idx="33">
                  <c:v>419.97783831058183</c:v>
                </c:pt>
                <c:pt idx="34">
                  <c:v>423.03085130868425</c:v>
                </c:pt>
                <c:pt idx="35">
                  <c:v>421.49337914194331</c:v>
                </c:pt>
                <c:pt idx="36">
                  <c:v>412.39150187140621</c:v>
                </c:pt>
                <c:pt idx="37">
                  <c:v>427.96527591490849</c:v>
                </c:pt>
                <c:pt idx="38">
                  <c:v>437.76526368573928</c:v>
                </c:pt>
                <c:pt idx="39">
                  <c:v>426.04783956423069</c:v>
                </c:pt>
                <c:pt idx="40">
                  <c:v>392.05267087624924</c:v>
                </c:pt>
                <c:pt idx="41">
                  <c:v>306.61063280856666</c:v>
                </c:pt>
                <c:pt idx="42">
                  <c:v>335.92928497109557</c:v>
                </c:pt>
                <c:pt idx="43">
                  <c:v>340.67504695041549</c:v>
                </c:pt>
                <c:pt idx="44">
                  <c:v>332.83211733084715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64E-4CA0-BF99-2A6CE1C4AC1D}"/>
            </c:ext>
          </c:extLst>
        </c:ser>
        <c:ser>
          <c:idx val="1"/>
          <c:order val="1"/>
          <c:tx>
            <c:strRef>
              <c:f>'19. Quarterly investment'!$C$5</c:f>
              <c:strCache>
                <c:ptCount val="1"/>
                <c:pt idx="0">
                  <c:v>General government (R bns)</c:v>
                </c:pt>
              </c:strCache>
            </c:strRef>
          </c:tx>
          <c:spPr>
            <a:ln w="38100">
              <a:solidFill>
                <a:srgbClr val="F79646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'19. Quarterly investment'!$A$6:$A$50</c:f>
              <c:numCache>
                <c:formatCode>General</c:formatCode>
                <c:ptCount val="45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'19. Quarterly investment'!$C$6:$C$50</c:f>
              <c:numCache>
                <c:formatCode>_-* #\ ##0_-;\-* #\ ##0_-;_-* "-"??_-;_-@_-</c:formatCode>
                <c:ptCount val="45"/>
                <c:pt idx="0">
                  <c:v>125.63483429872356</c:v>
                </c:pt>
                <c:pt idx="1">
                  <c:v>123.47611509357806</c:v>
                </c:pt>
                <c:pt idx="2">
                  <c:v>122.60643674010079</c:v>
                </c:pt>
                <c:pt idx="3">
                  <c:v>121.96591886043939</c:v>
                </c:pt>
                <c:pt idx="4">
                  <c:v>123.8793559421164</c:v>
                </c:pt>
                <c:pt idx="5">
                  <c:v>126.48522663463851</c:v>
                </c:pt>
                <c:pt idx="6">
                  <c:v>128.96962801652001</c:v>
                </c:pt>
                <c:pt idx="7">
                  <c:v>134.38562474996982</c:v>
                </c:pt>
                <c:pt idx="8">
                  <c:v>138.75966920599373</c:v>
                </c:pt>
                <c:pt idx="9">
                  <c:v>138.75356769995662</c:v>
                </c:pt>
                <c:pt idx="10">
                  <c:v>137.02312458087093</c:v>
                </c:pt>
                <c:pt idx="11">
                  <c:v>136.80618280113072</c:v>
                </c:pt>
                <c:pt idx="12">
                  <c:v>139.97851502377372</c:v>
                </c:pt>
                <c:pt idx="13">
                  <c:v>143.23803428851321</c:v>
                </c:pt>
                <c:pt idx="14">
                  <c:v>146.73231665075915</c:v>
                </c:pt>
                <c:pt idx="15">
                  <c:v>156.69726354590182</c:v>
                </c:pt>
                <c:pt idx="16">
                  <c:v>150.40737615111965</c:v>
                </c:pt>
                <c:pt idx="17">
                  <c:v>154.32869970718056</c:v>
                </c:pt>
                <c:pt idx="18">
                  <c:v>155.49415414774344</c:v>
                </c:pt>
                <c:pt idx="19">
                  <c:v>157.26514962689825</c:v>
                </c:pt>
                <c:pt idx="20">
                  <c:v>164.58887725548354</c:v>
                </c:pt>
                <c:pt idx="21">
                  <c:v>172.93571052272716</c:v>
                </c:pt>
                <c:pt idx="22">
                  <c:v>180.93763087659801</c:v>
                </c:pt>
                <c:pt idx="23">
                  <c:v>188.25078684326849</c:v>
                </c:pt>
                <c:pt idx="24">
                  <c:v>177.32764502602194</c:v>
                </c:pt>
                <c:pt idx="25">
                  <c:v>166.73033426337742</c:v>
                </c:pt>
                <c:pt idx="26">
                  <c:v>160.06227252045616</c:v>
                </c:pt>
                <c:pt idx="27">
                  <c:v>163.48142187642384</c:v>
                </c:pt>
                <c:pt idx="28">
                  <c:v>164.87575163605783</c:v>
                </c:pt>
                <c:pt idx="29">
                  <c:v>165.4870882950089</c:v>
                </c:pt>
                <c:pt idx="30">
                  <c:v>168.7860727044457</c:v>
                </c:pt>
                <c:pt idx="31">
                  <c:v>169.84486747011132</c:v>
                </c:pt>
                <c:pt idx="32">
                  <c:v>163.49874492384123</c:v>
                </c:pt>
                <c:pt idx="33">
                  <c:v>161.71138247868001</c:v>
                </c:pt>
                <c:pt idx="34">
                  <c:v>157.93671685132657</c:v>
                </c:pt>
                <c:pt idx="35">
                  <c:v>156.28354051091134</c:v>
                </c:pt>
                <c:pt idx="36">
                  <c:v>155.42412312289534</c:v>
                </c:pt>
                <c:pt idx="37">
                  <c:v>148.65816166292038</c:v>
                </c:pt>
                <c:pt idx="38">
                  <c:v>142.4658783637062</c:v>
                </c:pt>
                <c:pt idx="39">
                  <c:v>135.74041551664044</c:v>
                </c:pt>
                <c:pt idx="40">
                  <c:v>137.99216868086395</c:v>
                </c:pt>
                <c:pt idx="41">
                  <c:v>142.35809965011765</c:v>
                </c:pt>
                <c:pt idx="42">
                  <c:v>145.03181009157851</c:v>
                </c:pt>
                <c:pt idx="43">
                  <c:v>149.21389878291146</c:v>
                </c:pt>
                <c:pt idx="44">
                  <c:v>154.26459601051363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64E-4CA0-BF99-2A6CE1C4AC1D}"/>
            </c:ext>
          </c:extLst>
        </c:ser>
        <c:ser>
          <c:idx val="2"/>
          <c:order val="2"/>
          <c:tx>
            <c:strRef>
              <c:f>'19. Quarterly investment'!$D$5</c:f>
              <c:strCache>
                <c:ptCount val="1"/>
                <c:pt idx="0">
                  <c:v>Public corporations (R bns)</c:v>
                </c:pt>
              </c:strCache>
            </c:strRef>
          </c:tx>
          <c:spPr>
            <a:ln w="19050">
              <a:solidFill>
                <a:srgbClr val="F79646">
                  <a:lumMod val="20000"/>
                  <a:lumOff val="80000"/>
                </a:srgbClr>
              </a:solidFill>
            </a:ln>
          </c:spPr>
          <c:marker>
            <c:symbol val="circle"/>
            <c:size val="8"/>
            <c:spPr>
              <a:solidFill>
                <a:srgbClr val="F79646">
                  <a:lumMod val="20000"/>
                  <a:lumOff val="80000"/>
                </a:srgbClr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'19. Quarterly investment'!$A$6:$A$50</c:f>
              <c:numCache>
                <c:formatCode>General</c:formatCode>
                <c:ptCount val="45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</c:numCache>
            </c:numRef>
          </c:cat>
          <c:val>
            <c:numRef>
              <c:f>'19. Quarterly investment'!$D$6:$D$50</c:f>
              <c:numCache>
                <c:formatCode>_-* #\ ##0_-;\-* #\ ##0_-;_-* "-"??_-;_-@_-</c:formatCode>
                <c:ptCount val="45"/>
                <c:pt idx="0">
                  <c:v>186.34691381520219</c:v>
                </c:pt>
                <c:pt idx="1">
                  <c:v>180.04156470162411</c:v>
                </c:pt>
                <c:pt idx="2">
                  <c:v>175.27197665296609</c:v>
                </c:pt>
                <c:pt idx="3">
                  <c:v>169.8171662988911</c:v>
                </c:pt>
                <c:pt idx="4">
                  <c:v>172.64302538877325</c:v>
                </c:pt>
                <c:pt idx="5">
                  <c:v>174.12889662355164</c:v>
                </c:pt>
                <c:pt idx="6">
                  <c:v>175.68020851943325</c:v>
                </c:pt>
                <c:pt idx="7">
                  <c:v>175.62795037896674</c:v>
                </c:pt>
                <c:pt idx="8">
                  <c:v>171.33303932027115</c:v>
                </c:pt>
                <c:pt idx="9">
                  <c:v>177.99270632130165</c:v>
                </c:pt>
                <c:pt idx="10">
                  <c:v>185.20678852212157</c:v>
                </c:pt>
                <c:pt idx="11">
                  <c:v>189.94048342286555</c:v>
                </c:pt>
                <c:pt idx="12">
                  <c:v>188.15922537298567</c:v>
                </c:pt>
                <c:pt idx="13">
                  <c:v>195.93253300519129</c:v>
                </c:pt>
                <c:pt idx="14">
                  <c:v>195.73267169306709</c:v>
                </c:pt>
                <c:pt idx="15">
                  <c:v>192.52514498724076</c:v>
                </c:pt>
                <c:pt idx="16">
                  <c:v>183.18202587390343</c:v>
                </c:pt>
                <c:pt idx="17">
                  <c:v>182.25822897319131</c:v>
                </c:pt>
                <c:pt idx="18">
                  <c:v>180.9628018257109</c:v>
                </c:pt>
                <c:pt idx="19">
                  <c:v>182.30531286008085</c:v>
                </c:pt>
                <c:pt idx="20">
                  <c:v>198.02914367611308</c:v>
                </c:pt>
                <c:pt idx="21">
                  <c:v>187.71334964446342</c:v>
                </c:pt>
                <c:pt idx="22">
                  <c:v>194.31922240197139</c:v>
                </c:pt>
                <c:pt idx="23">
                  <c:v>185.72962364768915</c:v>
                </c:pt>
                <c:pt idx="24">
                  <c:v>185.09794323016934</c:v>
                </c:pt>
                <c:pt idx="25">
                  <c:v>186.00824368931578</c:v>
                </c:pt>
                <c:pt idx="26">
                  <c:v>183.01959422410386</c:v>
                </c:pt>
                <c:pt idx="27">
                  <c:v>183.27803805096397</c:v>
                </c:pt>
                <c:pt idx="28">
                  <c:v>175.11194687739399</c:v>
                </c:pt>
                <c:pt idx="29">
                  <c:v>169.14783755393307</c:v>
                </c:pt>
                <c:pt idx="30">
                  <c:v>152.17561793433731</c:v>
                </c:pt>
                <c:pt idx="31">
                  <c:v>154.82362440406152</c:v>
                </c:pt>
                <c:pt idx="32">
                  <c:v>148.45086701775909</c:v>
                </c:pt>
                <c:pt idx="33">
                  <c:v>143.01994297878986</c:v>
                </c:pt>
                <c:pt idx="34">
                  <c:v>140.10784555032825</c:v>
                </c:pt>
                <c:pt idx="35">
                  <c:v>138.09359407571745</c:v>
                </c:pt>
                <c:pt idx="36">
                  <c:v>143.41109582208486</c:v>
                </c:pt>
                <c:pt idx="37">
                  <c:v>138.89032077346599</c:v>
                </c:pt>
                <c:pt idx="38">
                  <c:v>139.14176120861558</c:v>
                </c:pt>
                <c:pt idx="39">
                  <c:v>139.05308226450657</c:v>
                </c:pt>
                <c:pt idx="40">
                  <c:v>142.92315725849838</c:v>
                </c:pt>
                <c:pt idx="41">
                  <c:v>92.45055095383681</c:v>
                </c:pt>
                <c:pt idx="42">
                  <c:v>87.309720822954858</c:v>
                </c:pt>
                <c:pt idx="43">
                  <c:v>97.793508555491385</c:v>
                </c:pt>
                <c:pt idx="44">
                  <c:v>100.21672299475787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64E-4CA0-BF99-2A6CE1C4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billions of constant (2021) rand</a:t>
                </a:r>
              </a:p>
            </c:rich>
          </c:tx>
          <c:layout/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valAx>
        <c:axId val="123083713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230838383"/>
        <c:crosses val="max"/>
        <c:crossBetween val="between"/>
      </c:valAx>
      <c:catAx>
        <c:axId val="12308383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0837135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'20. Return on assets'!$B$5</c:f>
              <c:strCache>
                <c:ptCount val="1"/>
                <c:pt idx="0">
                  <c:v>mining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circle"/>
            <c:size val="5"/>
          </c:marker>
          <c:cat>
            <c:numRef>
              <c:f>'20. Return on assets'!$A$6:$A$15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'20. Return on assets'!$B$6:$B$15</c:f>
              <c:numCache>
                <c:formatCode>0.0%</c:formatCode>
                <c:ptCount val="10"/>
                <c:pt idx="0">
                  <c:v>5.6007756603728157E-2</c:v>
                </c:pt>
                <c:pt idx="1">
                  <c:v>1.0377934868643437E-2</c:v>
                </c:pt>
                <c:pt idx="2">
                  <c:v>-3.001460603823251E-3</c:v>
                </c:pt>
                <c:pt idx="3">
                  <c:v>6.1248887748584779E-3</c:v>
                </c:pt>
                <c:pt idx="4">
                  <c:v>-2.8037192443958268E-2</c:v>
                </c:pt>
                <c:pt idx="5">
                  <c:v>4.9917071486904031E-2</c:v>
                </c:pt>
                <c:pt idx="6">
                  <c:v>2.1041337043301144E-2</c:v>
                </c:pt>
                <c:pt idx="7">
                  <c:v>1.8639927743162824E-2</c:v>
                </c:pt>
                <c:pt idx="8">
                  <c:v>3.9346651754996347E-2</c:v>
                </c:pt>
                <c:pt idx="9">
                  <c:v>0.13391165542438485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291-44C6-B236-4012575EB01D}"/>
            </c:ext>
          </c:extLst>
        </c:ser>
        <c:ser>
          <c:idx val="3"/>
          <c:order val="1"/>
          <c:tx>
            <c:strRef>
              <c:f>'20. Return on assets'!$C$5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'20. Return on assets'!$A$6:$A$15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'20. Return on assets'!$C$6:$C$15</c:f>
              <c:numCache>
                <c:formatCode>0.0%</c:formatCode>
                <c:ptCount val="10"/>
                <c:pt idx="0">
                  <c:v>0.11854111962433433</c:v>
                </c:pt>
                <c:pt idx="1">
                  <c:v>0.10355413445670113</c:v>
                </c:pt>
                <c:pt idx="2">
                  <c:v>0.10829878704130201</c:v>
                </c:pt>
                <c:pt idx="3">
                  <c:v>7.9730528474680068E-2</c:v>
                </c:pt>
                <c:pt idx="4">
                  <c:v>6.7100390099005744E-2</c:v>
                </c:pt>
                <c:pt idx="5">
                  <c:v>7.6481067024958396E-2</c:v>
                </c:pt>
                <c:pt idx="6">
                  <c:v>0.11343770189497825</c:v>
                </c:pt>
                <c:pt idx="7">
                  <c:v>8.3896418388470104E-2</c:v>
                </c:pt>
                <c:pt idx="8">
                  <c:v>4.7577022959632904E-2</c:v>
                </c:pt>
                <c:pt idx="9">
                  <c:v>0.1082730306664879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291-44C6-B236-4012575EB01D}"/>
            </c:ext>
          </c:extLst>
        </c:ser>
        <c:ser>
          <c:idx val="0"/>
          <c:order val="2"/>
          <c:tx>
            <c:strRef>
              <c:f>'20. Return on assets'!$D$5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5"/>
          </c:marker>
          <c:cat>
            <c:numRef>
              <c:f>'20. Return on assets'!$A$6:$A$15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'20. Return on assets'!$D$6:$D$15</c:f>
              <c:numCache>
                <c:formatCode>0.0%</c:formatCode>
                <c:ptCount val="10"/>
                <c:pt idx="0">
                  <c:v>5.9580491571226357E-2</c:v>
                </c:pt>
                <c:pt idx="1">
                  <c:v>0.16987387112753877</c:v>
                </c:pt>
                <c:pt idx="2">
                  <c:v>0.16373267484467102</c:v>
                </c:pt>
                <c:pt idx="3">
                  <c:v>5.8162368869825849E-2</c:v>
                </c:pt>
                <c:pt idx="4">
                  <c:v>9.5179431022289138E-2</c:v>
                </c:pt>
                <c:pt idx="5">
                  <c:v>6.428914573148331E-2</c:v>
                </c:pt>
                <c:pt idx="6">
                  <c:v>9.8777390894572867E-2</c:v>
                </c:pt>
                <c:pt idx="7">
                  <c:v>0.10880755440377721</c:v>
                </c:pt>
                <c:pt idx="8">
                  <c:v>3.0656638899193955E-2</c:v>
                </c:pt>
                <c:pt idx="9">
                  <c:v>2.9523574426067636E-2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291-44C6-B236-4012575EB01D}"/>
            </c:ext>
          </c:extLst>
        </c:ser>
        <c:ser>
          <c:idx val="1"/>
          <c:order val="3"/>
          <c:tx>
            <c:strRef>
              <c:f>'20. Return on assets'!$E$5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triangle"/>
            <c:size val="6"/>
          </c:marker>
          <c:cat>
            <c:numRef>
              <c:f>'20. Return on assets'!$A$6:$A$15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'20. Return on assets'!$E$6:$E$15</c:f>
              <c:numCache>
                <c:formatCode>0.0%</c:formatCode>
                <c:ptCount val="10"/>
                <c:pt idx="0">
                  <c:v>7.5730150552940398E-2</c:v>
                </c:pt>
                <c:pt idx="1">
                  <c:v>6.8183949811027128E-2</c:v>
                </c:pt>
                <c:pt idx="2">
                  <c:v>8.921878638424062E-2</c:v>
                </c:pt>
                <c:pt idx="3">
                  <c:v>7.7408108946030701E-2</c:v>
                </c:pt>
                <c:pt idx="4">
                  <c:v>6.0592905362389662E-2</c:v>
                </c:pt>
                <c:pt idx="5">
                  <c:v>5.252617835174158E-2</c:v>
                </c:pt>
                <c:pt idx="6">
                  <c:v>7.0669711216578751E-2</c:v>
                </c:pt>
                <c:pt idx="7">
                  <c:v>4.0006047059496182E-2</c:v>
                </c:pt>
                <c:pt idx="8">
                  <c:v>3.5747397772905982E-2</c:v>
                </c:pt>
                <c:pt idx="9">
                  <c:v>3.911954817723233E-2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291-44C6-B236-4012575E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9632"/>
        <c:axId val="150071168"/>
      </c:lineChart>
      <c:catAx>
        <c:axId val="1500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0071168"/>
        <c:crosses val="autoZero"/>
        <c:auto val="1"/>
        <c:lblAlgn val="ctr"/>
        <c:lblOffset val="100"/>
        <c:noMultiLvlLbl val="0"/>
      </c:catAx>
      <c:valAx>
        <c:axId val="1500711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5006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20470431025414"/>
          <c:y val="0.34946190135819183"/>
          <c:w val="0.19874943541474241"/>
          <c:h val="0.490267712729727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'21. Mining &amp; mfg profits'!$B$5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'21. Mining &amp; mfg profits'!$A$6:$A$49</c:f>
              <c:numCache>
                <c:formatCode>General</c:formatCode>
                <c:ptCount val="44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'21. Mining &amp; mfg profits'!$B$6:$B$49</c:f>
              <c:numCache>
                <c:formatCode>_ * #\ ##0_ ;_ * \-#\ ##0_ ;_ * "-"??_ ;_ @_ </c:formatCode>
                <c:ptCount val="44"/>
                <c:pt idx="0">
                  <c:v>15.992613366209872</c:v>
                </c:pt>
                <c:pt idx="1">
                  <c:v>31.207789837546276</c:v>
                </c:pt>
                <c:pt idx="2">
                  <c:v>28.205417217994352</c:v>
                </c:pt>
                <c:pt idx="3">
                  <c:v>46.233687895696193</c:v>
                </c:pt>
                <c:pt idx="4">
                  <c:v>32.259960369228629</c:v>
                </c:pt>
                <c:pt idx="5">
                  <c:v>34.933091709700683</c:v>
                </c:pt>
                <c:pt idx="6">
                  <c:v>38.41253070367128</c:v>
                </c:pt>
                <c:pt idx="7">
                  <c:v>39.559474958473075</c:v>
                </c:pt>
                <c:pt idx="8">
                  <c:v>32.290376777694654</c:v>
                </c:pt>
                <c:pt idx="9">
                  <c:v>38.220821874318766</c:v>
                </c:pt>
                <c:pt idx="10">
                  <c:v>17.345428074993631</c:v>
                </c:pt>
                <c:pt idx="11">
                  <c:v>7.2297824841043843</c:v>
                </c:pt>
                <c:pt idx="12">
                  <c:v>22.266294761467321</c:v>
                </c:pt>
                <c:pt idx="13">
                  <c:v>10.085513619054765</c:v>
                </c:pt>
                <c:pt idx="14">
                  <c:v>0.13715301677187372</c:v>
                </c:pt>
                <c:pt idx="15">
                  <c:v>-2.0762630804120445</c:v>
                </c:pt>
                <c:pt idx="16">
                  <c:v>26.586627793288041</c:v>
                </c:pt>
                <c:pt idx="17">
                  <c:v>12.605734815285389</c:v>
                </c:pt>
                <c:pt idx="18">
                  <c:v>15.826664583121714</c:v>
                </c:pt>
                <c:pt idx="19">
                  <c:v>4.4194520366041976</c:v>
                </c:pt>
                <c:pt idx="20">
                  <c:v>-0.1331244415126677</c:v>
                </c:pt>
                <c:pt idx="21">
                  <c:v>-15.191998222538235</c:v>
                </c:pt>
                <c:pt idx="22">
                  <c:v>-7.9437416683830406</c:v>
                </c:pt>
                <c:pt idx="23">
                  <c:v>-17.211807631394848</c:v>
                </c:pt>
                <c:pt idx="24">
                  <c:v>-1.5114342700489511</c:v>
                </c:pt>
                <c:pt idx="25">
                  <c:v>13.031160037199999</c:v>
                </c:pt>
                <c:pt idx="26">
                  <c:v>16.957785256109421</c:v>
                </c:pt>
                <c:pt idx="27">
                  <c:v>27.794295161311478</c:v>
                </c:pt>
                <c:pt idx="28">
                  <c:v>16.001059815793102</c:v>
                </c:pt>
                <c:pt idx="29">
                  <c:v>-11.134535746071428</c:v>
                </c:pt>
                <c:pt idx="30">
                  <c:v>13.189026463689977</c:v>
                </c:pt>
                <c:pt idx="31">
                  <c:v>11.653910256910544</c:v>
                </c:pt>
                <c:pt idx="32">
                  <c:v>19.038860306716089</c:v>
                </c:pt>
                <c:pt idx="33">
                  <c:v>-7.0538968504661286</c:v>
                </c:pt>
                <c:pt idx="34">
                  <c:v>25.869300258011048</c:v>
                </c:pt>
                <c:pt idx="35">
                  <c:v>9.5785826466829853</c:v>
                </c:pt>
                <c:pt idx="36">
                  <c:v>22.364899851916437</c:v>
                </c:pt>
                <c:pt idx="37">
                  <c:v>22.496951864281463</c:v>
                </c:pt>
                <c:pt idx="38">
                  <c:v>18.533998284562337</c:v>
                </c:pt>
                <c:pt idx="39">
                  <c:v>20.871998885529791</c:v>
                </c:pt>
                <c:pt idx="40">
                  <c:v>35.28391427874746</c:v>
                </c:pt>
                <c:pt idx="41">
                  <c:v>21.233757178570595</c:v>
                </c:pt>
                <c:pt idx="42">
                  <c:v>59.020242592727264</c:v>
                </c:pt>
                <c:pt idx="43">
                  <c:v>69.126000000000005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F-4C41-A052-6CE636E0392C}"/>
            </c:ext>
          </c:extLst>
        </c:ser>
        <c:ser>
          <c:idx val="0"/>
          <c:order val="1"/>
          <c:tx>
            <c:strRef>
              <c:f>'21. Mining &amp; mfg profits'!$C$5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numRef>
              <c:f>'21. Mining &amp; mfg profits'!$A$6:$A$49</c:f>
              <c:numCache>
                <c:formatCode>General</c:formatCode>
                <c:ptCount val="44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'21. Mining &amp; mfg profits'!$C$6:$C$49</c:f>
              <c:numCache>
                <c:formatCode>_ * #\ ##0_ ;_ * \-#\ ##0_ ;_ * "-"??_ ;_ @_ </c:formatCode>
                <c:ptCount val="44"/>
                <c:pt idx="0">
                  <c:v>45.478574638691903</c:v>
                </c:pt>
                <c:pt idx="1">
                  <c:v>47.349520780635977</c:v>
                </c:pt>
                <c:pt idx="2">
                  <c:v>46.409802392372882</c:v>
                </c:pt>
                <c:pt idx="3">
                  <c:v>60.715382264275661</c:v>
                </c:pt>
                <c:pt idx="4">
                  <c:v>48.983751640988444</c:v>
                </c:pt>
                <c:pt idx="5">
                  <c:v>48.829119413768716</c:v>
                </c:pt>
                <c:pt idx="6">
                  <c:v>54.398977377266633</c:v>
                </c:pt>
                <c:pt idx="7">
                  <c:v>64.624630369832289</c:v>
                </c:pt>
                <c:pt idx="8">
                  <c:v>59.840504303057855</c:v>
                </c:pt>
                <c:pt idx="9">
                  <c:v>55.675787648226219</c:v>
                </c:pt>
                <c:pt idx="10">
                  <c:v>57.182942413770704</c:v>
                </c:pt>
                <c:pt idx="11">
                  <c:v>55.800815608146145</c:v>
                </c:pt>
                <c:pt idx="12">
                  <c:v>55.322347876794069</c:v>
                </c:pt>
                <c:pt idx="13">
                  <c:v>48.320083707918855</c:v>
                </c:pt>
                <c:pt idx="14">
                  <c:v>69.473601077271255</c:v>
                </c:pt>
                <c:pt idx="15">
                  <c:v>58.7363167286886</c:v>
                </c:pt>
                <c:pt idx="16">
                  <c:v>55.728433000702637</c:v>
                </c:pt>
                <c:pt idx="17">
                  <c:v>41.089603618059364</c:v>
                </c:pt>
                <c:pt idx="18">
                  <c:v>53.480624870927876</c:v>
                </c:pt>
                <c:pt idx="19">
                  <c:v>44.099986632638675</c:v>
                </c:pt>
                <c:pt idx="20">
                  <c:v>45.007807505532796</c:v>
                </c:pt>
                <c:pt idx="21">
                  <c:v>56.258486322290601</c:v>
                </c:pt>
                <c:pt idx="22">
                  <c:v>54.45698614180381</c:v>
                </c:pt>
                <c:pt idx="23">
                  <c:v>40.018893533412019</c:v>
                </c:pt>
                <c:pt idx="24">
                  <c:v>45.120109919013984</c:v>
                </c:pt>
                <c:pt idx="25">
                  <c:v>51.729429891261532</c:v>
                </c:pt>
                <c:pt idx="26">
                  <c:v>102.72390775694022</c:v>
                </c:pt>
                <c:pt idx="27">
                  <c:v>47.498523722077621</c:v>
                </c:pt>
                <c:pt idx="28">
                  <c:v>34.252322593674876</c:v>
                </c:pt>
                <c:pt idx="29">
                  <c:v>52.672381968545452</c:v>
                </c:pt>
                <c:pt idx="30">
                  <c:v>63.890520646455045</c:v>
                </c:pt>
                <c:pt idx="31">
                  <c:v>59.345073012862613</c:v>
                </c:pt>
                <c:pt idx="32">
                  <c:v>34.13712186401262</c:v>
                </c:pt>
                <c:pt idx="33">
                  <c:v>31.045854656681172</c:v>
                </c:pt>
                <c:pt idx="34">
                  <c:v>55.768448286887654</c:v>
                </c:pt>
                <c:pt idx="35">
                  <c:v>43.74676756674419</c:v>
                </c:pt>
                <c:pt idx="36">
                  <c:v>33.468869002597629</c:v>
                </c:pt>
                <c:pt idx="37">
                  <c:v>33.318626694340963</c:v>
                </c:pt>
                <c:pt idx="38">
                  <c:v>31.98849169167109</c:v>
                </c:pt>
                <c:pt idx="39">
                  <c:v>24.167307083959496</c:v>
                </c:pt>
                <c:pt idx="40">
                  <c:v>13.443232279605683</c:v>
                </c:pt>
                <c:pt idx="41">
                  <c:v>-4.1309346428210336</c:v>
                </c:pt>
                <c:pt idx="42">
                  <c:v>41.533282565677524</c:v>
                </c:pt>
                <c:pt idx="43">
                  <c:v>59.76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F-4C41-A052-6CE636E03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64388224"/>
        <c:axId val="164390016"/>
      </c:barChart>
      <c:catAx>
        <c:axId val="164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64390016"/>
        <c:crosses val="autoZero"/>
        <c:auto val="1"/>
        <c:lblAlgn val="ctr"/>
        <c:lblOffset val="100"/>
        <c:noMultiLvlLbl val="0"/>
      </c:catAx>
      <c:valAx>
        <c:axId val="1643900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constant (2020Q3) rand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1643882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 Manufacturing sales'!$A$4</c:f>
              <c:strCache>
                <c:ptCount val="1"/>
                <c:pt idx="0">
                  <c:v>Manufacturing sales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'3. Manufacturing sales'!$B$3:$P$3</c:f>
              <c:numCache>
                <c:formatCode>mmm\-yy</c:formatCode>
                <c:ptCount val="1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</c:numCache>
            </c:numRef>
          </c:cat>
          <c:val>
            <c:numRef>
              <c:f>'3. Manufacturing sales'!$B$4:$P$4</c:f>
              <c:numCache>
                <c:formatCode>_-* #\ ##0.0_-;\-* #\ ##0.0_-;_-* "-"??_-;_-@_-</c:formatCode>
                <c:ptCount val="15"/>
                <c:pt idx="0">
                  <c:v>204.84447486503066</c:v>
                </c:pt>
                <c:pt idx="1">
                  <c:v>207.28735903211805</c:v>
                </c:pt>
                <c:pt idx="2">
                  <c:v>195.17602499221454</c:v>
                </c:pt>
                <c:pt idx="3">
                  <c:v>105.96152967652174</c:v>
                </c:pt>
                <c:pt idx="4">
                  <c:v>145.31714126771652</c:v>
                </c:pt>
                <c:pt idx="5">
                  <c:v>171.5311130156658</c:v>
                </c:pt>
                <c:pt idx="6">
                  <c:v>179.99392522079037</c:v>
                </c:pt>
                <c:pt idx="7">
                  <c:v>188.93303937371135</c:v>
                </c:pt>
                <c:pt idx="8">
                  <c:v>195.55444002058317</c:v>
                </c:pt>
                <c:pt idx="9">
                  <c:v>201.47116085702055</c:v>
                </c:pt>
                <c:pt idx="10">
                  <c:v>203.15146084713919</c:v>
                </c:pt>
                <c:pt idx="11">
                  <c:v>202.20457233248081</c:v>
                </c:pt>
                <c:pt idx="12">
                  <c:v>202.80660344689889</c:v>
                </c:pt>
                <c:pt idx="13">
                  <c:v>208.46330886666667</c:v>
                </c:pt>
                <c:pt idx="14">
                  <c:v>219.223682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D-4404-8C59-8942BCD38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dateAx>
        <c:axId val="1856535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Offset val="100"/>
        <c:baseTimeUnit val="months"/>
      </c:date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Mfg sales by industry'!$C$3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Mfg sales by industry'!$B$4:$B$17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'4. Mfg sales by industry'!$C$4:$C$17</c:f>
              <c:numCache>
                <c:formatCode>_ * #\ ##0_ ;_ * \-#\ ##0_ ;_ * "-"??_ ;_ @_ </c:formatCode>
                <c:ptCount val="14"/>
                <c:pt idx="0">
                  <c:v>151.25734719326562</c:v>
                </c:pt>
                <c:pt idx="1">
                  <c:v>100.37001793460007</c:v>
                </c:pt>
                <c:pt idx="2">
                  <c:v>86.86582549528039</c:v>
                </c:pt>
                <c:pt idx="3">
                  <c:v>83.586026229517103</c:v>
                </c:pt>
                <c:pt idx="4">
                  <c:v>28.807693701241533</c:v>
                </c:pt>
                <c:pt idx="5">
                  <c:v>32.464008027786925</c:v>
                </c:pt>
                <c:pt idx="6">
                  <c:v>36.637618742241727</c:v>
                </c:pt>
                <c:pt idx="7">
                  <c:v>16.506866206609438</c:v>
                </c:pt>
                <c:pt idx="8">
                  <c:v>14.660744395226072</c:v>
                </c:pt>
                <c:pt idx="9">
                  <c:v>23.387541219478447</c:v>
                </c:pt>
                <c:pt idx="10">
                  <c:v>13.488751934671198</c:v>
                </c:pt>
                <c:pt idx="11">
                  <c:v>12.849150633700015</c:v>
                </c:pt>
                <c:pt idx="12">
                  <c:v>6.4262650981637863</c:v>
                </c:pt>
                <c:pt idx="13">
                  <c:v>4.2173676775165463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9-4268-A84B-C3631F1DAD2F}"/>
            </c:ext>
          </c:extLst>
        </c:ser>
        <c:ser>
          <c:idx val="1"/>
          <c:order val="1"/>
          <c:tx>
            <c:strRef>
              <c:f>'4. Mfg sales by industry'!$D$3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Mfg sales by industry'!$B$4:$B$17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'4. Mfg sales by industry'!$D$4:$D$17</c:f>
              <c:numCache>
                <c:formatCode>_ * #\ ##0_ ;_ * \-#\ ##0_ ;_ * "-"??_ ;_ @_ </c:formatCode>
                <c:ptCount val="14"/>
                <c:pt idx="0">
                  <c:v>128.46992455170837</c:v>
                </c:pt>
                <c:pt idx="1">
                  <c:v>71.981168777439549</c:v>
                </c:pt>
                <c:pt idx="2">
                  <c:v>75.782425603816421</c:v>
                </c:pt>
                <c:pt idx="3">
                  <c:v>35.869473920707307</c:v>
                </c:pt>
                <c:pt idx="4">
                  <c:v>24.036367294199309</c:v>
                </c:pt>
                <c:pt idx="5">
                  <c:v>22.244228379007861</c:v>
                </c:pt>
                <c:pt idx="6">
                  <c:v>17.444153278994339</c:v>
                </c:pt>
                <c:pt idx="7">
                  <c:v>8.5848191993342624</c:v>
                </c:pt>
                <c:pt idx="8">
                  <c:v>8.3814809782934212</c:v>
                </c:pt>
                <c:pt idx="9">
                  <c:v>9.5166472972528879</c:v>
                </c:pt>
                <c:pt idx="10">
                  <c:v>9.7747218577265311</c:v>
                </c:pt>
                <c:pt idx="11">
                  <c:v>6.4688702648911676</c:v>
                </c:pt>
                <c:pt idx="12">
                  <c:v>4.2554984060645502</c:v>
                </c:pt>
                <c:pt idx="13">
                  <c:v>1.2611410746252851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9-4268-A84B-C3631F1DAD2F}"/>
            </c:ext>
          </c:extLst>
        </c:ser>
        <c:ser>
          <c:idx val="2"/>
          <c:order val="2"/>
          <c:tx>
            <c:strRef>
              <c:f>'4. Mfg sales by industry'!$E$3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'4. Mfg sales by industry'!$B$4:$B$17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'4. Mfg sales by industry'!$E$4:$E$17</c:f>
              <c:numCache>
                <c:formatCode>_ * #\ ##0_ ;_ * \-#\ ##0_ ;_ * "-"??_ ;_ @_ </c:formatCode>
                <c:ptCount val="14"/>
                <c:pt idx="0">
                  <c:v>142.96529291994608</c:v>
                </c:pt>
                <c:pt idx="1">
                  <c:v>91.66048406012176</c:v>
                </c:pt>
                <c:pt idx="2">
                  <c:v>84.573703587400061</c:v>
                </c:pt>
                <c:pt idx="3">
                  <c:v>66.873795796986172</c:v>
                </c:pt>
                <c:pt idx="4">
                  <c:v>28.072011231777068</c:v>
                </c:pt>
                <c:pt idx="5">
                  <c:v>29.187685330578809</c:v>
                </c:pt>
                <c:pt idx="6">
                  <c:v>24.711590278974096</c:v>
                </c:pt>
                <c:pt idx="7">
                  <c:v>15.596552242436275</c:v>
                </c:pt>
                <c:pt idx="8">
                  <c:v>13.020195189463273</c:v>
                </c:pt>
                <c:pt idx="9">
                  <c:v>16.223534996440204</c:v>
                </c:pt>
                <c:pt idx="10">
                  <c:v>12.706451664863216</c:v>
                </c:pt>
                <c:pt idx="11">
                  <c:v>9.0438394089436791</c:v>
                </c:pt>
                <c:pt idx="12">
                  <c:v>5.82293678920038</c:v>
                </c:pt>
                <c:pt idx="13">
                  <c:v>2.7321644072030362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9-4268-A84B-C3631F1DAD2F}"/>
            </c:ext>
          </c:extLst>
        </c:ser>
        <c:ser>
          <c:idx val="3"/>
          <c:order val="3"/>
          <c:tx>
            <c:strRef>
              <c:f>'4. Mfg sales by industry'!$F$3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Mfg sales by industry'!$B$4:$B$17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'4. Mfg sales by industry'!$F$4:$F$17</c:f>
              <c:numCache>
                <c:formatCode>_ * #\ ##0_ ;_ * \-#\ ##0_ ;_ * "-"??_ ;_ @_ </c:formatCode>
                <c:ptCount val="14"/>
                <c:pt idx="0">
                  <c:v>155.12777376645977</c:v>
                </c:pt>
                <c:pt idx="1">
                  <c:v>103.99707852533319</c:v>
                </c:pt>
                <c:pt idx="2">
                  <c:v>88.972365783456837</c:v>
                </c:pt>
                <c:pt idx="3">
                  <c:v>85.237680226623951</c:v>
                </c:pt>
                <c:pt idx="4">
                  <c:v>28.702228343243874</c:v>
                </c:pt>
                <c:pt idx="5">
                  <c:v>32.511715709509431</c:v>
                </c:pt>
                <c:pt idx="6">
                  <c:v>22.895672086990967</c:v>
                </c:pt>
                <c:pt idx="7">
                  <c:v>18.2596957400884</c:v>
                </c:pt>
                <c:pt idx="8">
                  <c:v>14.353065020629909</c:v>
                </c:pt>
                <c:pt idx="9">
                  <c:v>22.72040091228531</c:v>
                </c:pt>
                <c:pt idx="10">
                  <c:v>14.91291882952347</c:v>
                </c:pt>
                <c:pt idx="11">
                  <c:v>12.376261985329133</c:v>
                </c:pt>
                <c:pt idx="12">
                  <c:v>6.760334047307806</c:v>
                </c:pt>
                <c:pt idx="13">
                  <c:v>3.8123351779763039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E9-4268-A84B-C3631F1DAD2F}"/>
            </c:ext>
          </c:extLst>
        </c:ser>
        <c:ser>
          <c:idx val="4"/>
          <c:order val="4"/>
          <c:tx>
            <c:strRef>
              <c:f>'4. Mfg sales by industry'!$G$3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Mfg sales by industry'!$B$4:$B$17</c:f>
              <c:strCache>
                <c:ptCount val="14"/>
                <c:pt idx="0">
                  <c:v>food/
beverages</c:v>
                </c:pt>
                <c:pt idx="1">
                  <c:v>metals</c:v>
                </c:pt>
                <c:pt idx="2">
                  <c:v>chemicals/
plastics</c:v>
                </c:pt>
                <c:pt idx="3">
                  <c:v>transport 
equipment</c:v>
                </c:pt>
                <c:pt idx="4">
                  <c:v>wood and paper</c:v>
                </c:pt>
                <c:pt idx="5">
                  <c:v>machinery</c:v>
                </c:pt>
                <c:pt idx="6">
                  <c:v>petroleum 
refineries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  <c:pt idx="10">
                  <c:v>electrical 
machinery</c:v>
                </c:pt>
                <c:pt idx="11">
                  <c:v>publishing </c:v>
                </c:pt>
                <c:pt idx="12">
                  <c:v>ICT</c:v>
                </c:pt>
                <c:pt idx="13">
                  <c:v>Furniture</c:v>
                </c:pt>
              </c:strCache>
            </c:strRef>
          </c:cat>
          <c:val>
            <c:numRef>
              <c:f>'4. Mfg sales by industry'!$G$4:$G$17</c:f>
              <c:numCache>
                <c:formatCode>_ * #\ ##0_ ;_ * \-#\ ##0_ ;_ * "-"??_ ;_ @_ </c:formatCode>
                <c:ptCount val="14"/>
                <c:pt idx="0">
                  <c:v>156.97328010130741</c:v>
                </c:pt>
                <c:pt idx="1">
                  <c:v>118.51921595045833</c:v>
                </c:pt>
                <c:pt idx="2">
                  <c:v>89.257714128023395</c:v>
                </c:pt>
                <c:pt idx="3">
                  <c:v>89.455671670362676</c:v>
                </c:pt>
                <c:pt idx="4">
                  <c:v>29.387335073033423</c:v>
                </c:pt>
                <c:pt idx="5">
                  <c:v>32.450118801195202</c:v>
                </c:pt>
                <c:pt idx="6">
                  <c:v>24.274064049654235</c:v>
                </c:pt>
                <c:pt idx="7">
                  <c:v>18.645527297944785</c:v>
                </c:pt>
                <c:pt idx="8">
                  <c:v>14.809314976020705</c:v>
                </c:pt>
                <c:pt idx="9">
                  <c:v>23.789315699811077</c:v>
                </c:pt>
                <c:pt idx="10">
                  <c:v>14.481630878217882</c:v>
                </c:pt>
                <c:pt idx="11">
                  <c:v>12.282077190634846</c:v>
                </c:pt>
                <c:pt idx="12">
                  <c:v>6.1683304968098112</c:v>
                </c:pt>
                <c:pt idx="13">
                  <c:v>3.7413755582138668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E9-4268-A84B-C3631F1DA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3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Mining production &amp; sales'!$C$5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'5.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'5. Mining production &amp; sales'!$C$6:$C$13</c:f>
              <c:numCache>
                <c:formatCode>_-* #\ ##0_-;\-* #\ ##0_-;_-* "-"??_-;_-@_-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F-43F5-9B69-63E191DC508C}"/>
            </c:ext>
          </c:extLst>
        </c:ser>
        <c:ser>
          <c:idx val="1"/>
          <c:order val="1"/>
          <c:tx>
            <c:strRef>
              <c:f>'5. Mining production &amp; sales'!$D$5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'5.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'5. Mining production &amp; sales'!$D$6:$D$13</c:f>
              <c:numCache>
                <c:formatCode>_-* #\ ##0_-;\-* #\ ##0_-;_-* "-"??_-;_-@_-</c:formatCode>
                <c:ptCount val="8"/>
                <c:pt idx="0">
                  <c:v>87.398141913654896</c:v>
                </c:pt>
                <c:pt idx="1">
                  <c:v>91.102514506769836</c:v>
                </c:pt>
                <c:pt idx="2">
                  <c:v>77.274646029314525</c:v>
                </c:pt>
                <c:pt idx="3">
                  <c:v>62.663185378590072</c:v>
                </c:pt>
                <c:pt idx="4">
                  <c:v>82.678919332115129</c:v>
                </c:pt>
                <c:pt idx="5">
                  <c:v>64.934057408844069</c:v>
                </c:pt>
                <c:pt idx="6">
                  <c:v>62.591297151829494</c:v>
                </c:pt>
                <c:pt idx="7">
                  <c:v>60.68866571018652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F-43F5-9B69-63E191DC508C}"/>
            </c:ext>
          </c:extLst>
        </c:ser>
        <c:ser>
          <c:idx val="2"/>
          <c:order val="2"/>
          <c:tx>
            <c:strRef>
              <c:f>'5. Mining production &amp; sales'!$E$5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multiLvlStrRef>
              <c:f>'5.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'5. Mining production &amp; sales'!$E$6:$E$13</c:f>
              <c:numCache>
                <c:formatCode>_-* #\ ##0_-;\-* #\ ##0_-;_-* "-"??_-;_-@_-</c:formatCode>
                <c:ptCount val="8"/>
                <c:pt idx="0">
                  <c:v>91.510117741506562</c:v>
                </c:pt>
                <c:pt idx="1">
                  <c:v>92.714377820760816</c:v>
                </c:pt>
                <c:pt idx="2">
                  <c:v>99.908477120010488</c:v>
                </c:pt>
                <c:pt idx="3">
                  <c:v>82.680591818973014</c:v>
                </c:pt>
                <c:pt idx="4">
                  <c:v>102.8593302103107</c:v>
                </c:pt>
                <c:pt idx="5">
                  <c:v>88.130333591931731</c:v>
                </c:pt>
                <c:pt idx="6">
                  <c:v>91.28281430760137</c:v>
                </c:pt>
                <c:pt idx="7">
                  <c:v>89.956958393113354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F-43F5-9B69-63E191DC508C}"/>
            </c:ext>
          </c:extLst>
        </c:ser>
        <c:ser>
          <c:idx val="3"/>
          <c:order val="3"/>
          <c:tx>
            <c:strRef>
              <c:f>'5. Mining production &amp; sales'!$F$5</c:f>
              <c:strCache>
                <c:ptCount val="1"/>
                <c:pt idx="0">
                  <c:v>Q4 2020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'5.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'5. Mining production &amp; sales'!$F$6:$F$13</c:f>
              <c:numCache>
                <c:formatCode>_-* #\ ##0_-;\-* #\ ##0_-;_-* "-"??_-;_-@_-</c:formatCode>
                <c:ptCount val="8"/>
                <c:pt idx="0">
                  <c:v>93.124690732077013</c:v>
                </c:pt>
                <c:pt idx="1">
                  <c:v>91.586073500967132</c:v>
                </c:pt>
                <c:pt idx="2">
                  <c:v>137.06656819435062</c:v>
                </c:pt>
                <c:pt idx="3">
                  <c:v>94.821583986074828</c:v>
                </c:pt>
                <c:pt idx="4">
                  <c:v>118.02534916738863</c:v>
                </c:pt>
                <c:pt idx="5">
                  <c:v>102.05585725368501</c:v>
                </c:pt>
                <c:pt idx="6">
                  <c:v>133.4120845867424</c:v>
                </c:pt>
                <c:pt idx="7">
                  <c:v>89.096126255380199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F-43F5-9B69-63E191DC508C}"/>
            </c:ext>
          </c:extLst>
        </c:ser>
        <c:ser>
          <c:idx val="4"/>
          <c:order val="4"/>
          <c:tx>
            <c:strRef>
              <c:f>'5. Mining production &amp; sales'!$G$5</c:f>
              <c:strCache>
                <c:ptCount val="1"/>
                <c:pt idx="0">
                  <c:v>Q1 2021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'5. Mining production &amp; sales'!$A$6:$B$13</c:f>
              <c:multiLvlStrCache>
                <c:ptCount val="8"/>
                <c:lvl>
                  <c:pt idx="0">
                    <c:v>value</c:v>
                  </c:pt>
                  <c:pt idx="1">
                    <c:v>volume</c:v>
                  </c:pt>
                  <c:pt idx="2">
                    <c:v>value</c:v>
                  </c:pt>
                  <c:pt idx="3">
                    <c:v>volume</c:v>
                  </c:pt>
                  <c:pt idx="4">
                    <c:v>value</c:v>
                  </c:pt>
                  <c:pt idx="5">
                    <c:v>volume</c:v>
                  </c:pt>
                  <c:pt idx="6">
                    <c:v>value</c:v>
                  </c:pt>
                  <c:pt idx="7">
                    <c:v>volume</c:v>
                  </c:pt>
                </c:lvl>
                <c:lvl>
                  <c:pt idx="0">
                    <c:v>Coal</c:v>
                  </c:pt>
                  <c:pt idx="2">
                    <c:v>Gold</c:v>
                  </c:pt>
                  <c:pt idx="4">
                    <c:v>Iron ore</c:v>
                  </c:pt>
                  <c:pt idx="6">
                    <c:v>PGMs</c:v>
                  </c:pt>
                </c:lvl>
              </c:multiLvlStrCache>
            </c:multiLvlStrRef>
          </c:cat>
          <c:val>
            <c:numRef>
              <c:f>'5. Mining production &amp; sales'!$G$6:$G$13</c:f>
              <c:numCache>
                <c:formatCode>_-* #\ ##0_-;\-* #\ ##0_-;_-* "-"??_-;_-@_-</c:formatCode>
                <c:ptCount val="8"/>
                <c:pt idx="0">
                  <c:v>86.61173095139867</c:v>
                </c:pt>
                <c:pt idx="1">
                  <c:v>89.264990328820119</c:v>
                </c:pt>
                <c:pt idx="2">
                  <c:v>141.80238725848378</c:v>
                </c:pt>
                <c:pt idx="3">
                  <c:v>96.692776327241077</c:v>
                </c:pt>
                <c:pt idx="4">
                  <c:v>145.37530900029688</c:v>
                </c:pt>
                <c:pt idx="5">
                  <c:v>119.39487975174555</c:v>
                </c:pt>
                <c:pt idx="6">
                  <c:v>156.28709334402032</c:v>
                </c:pt>
                <c:pt idx="7">
                  <c:v>108.24964131994261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F-43F5-9B69-63E191DC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Q1 2020 = 100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'6. Auto sales'!$B$4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sales'!$B$5:$B$21</c:f>
              <c:numCache>
                <c:formatCode>_-* #\ ##0_-;\-* #\ ##0_-;_-* "-"??_-;_-@_-</c:formatCode>
                <c:ptCount val="17"/>
                <c:pt idx="0">
                  <c:v>32257.666666666668</c:v>
                </c:pt>
                <c:pt idx="1">
                  <c:v>22607.333333333332</c:v>
                </c:pt>
                <c:pt idx="3">
                  <c:v>16303</c:v>
                </c:pt>
                <c:pt idx="4">
                  <c:v>32143</c:v>
                </c:pt>
                <c:pt idx="5">
                  <c:v>28889</c:v>
                </c:pt>
                <c:pt idx="6">
                  <c:v>901</c:v>
                </c:pt>
                <c:pt idx="7">
                  <c:v>11901</c:v>
                </c:pt>
                <c:pt idx="8">
                  <c:v>18808</c:v>
                </c:pt>
                <c:pt idx="9">
                  <c:v>25312</c:v>
                </c:pt>
                <c:pt idx="10">
                  <c:v>23029</c:v>
                </c:pt>
                <c:pt idx="11">
                  <c:v>28390</c:v>
                </c:pt>
                <c:pt idx="12">
                  <c:v>33844</c:v>
                </c:pt>
                <c:pt idx="13">
                  <c:v>33825</c:v>
                </c:pt>
                <c:pt idx="14">
                  <c:v>17943</c:v>
                </c:pt>
                <c:pt idx="15">
                  <c:v>22759</c:v>
                </c:pt>
                <c:pt idx="16">
                  <c:v>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5-4015-8057-7C8A50BBA894}"/>
            </c:ext>
          </c:extLst>
        </c:ser>
        <c:ser>
          <c:idx val="1"/>
          <c:order val="1"/>
          <c:tx>
            <c:strRef>
              <c:f>'6. Auto sales'!$C$4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sales'!$C$5:$C$21</c:f>
              <c:numCache>
                <c:formatCode>_-* #\ ##0_-;\-* #\ ##0_-;_-* "-"??_-;_-@_-</c:formatCode>
                <c:ptCount val="17"/>
                <c:pt idx="0">
                  <c:v>44717.666666666664</c:v>
                </c:pt>
                <c:pt idx="1">
                  <c:v>31683.833333333332</c:v>
                </c:pt>
                <c:pt idx="3">
                  <c:v>40413</c:v>
                </c:pt>
                <c:pt idx="4">
                  <c:v>43296</c:v>
                </c:pt>
                <c:pt idx="5">
                  <c:v>33546</c:v>
                </c:pt>
                <c:pt idx="6">
                  <c:v>574</c:v>
                </c:pt>
                <c:pt idx="7">
                  <c:v>12874</c:v>
                </c:pt>
                <c:pt idx="8">
                  <c:v>31643</c:v>
                </c:pt>
                <c:pt idx="9">
                  <c:v>32405</c:v>
                </c:pt>
                <c:pt idx="10">
                  <c:v>33259</c:v>
                </c:pt>
                <c:pt idx="11">
                  <c:v>37237</c:v>
                </c:pt>
                <c:pt idx="12">
                  <c:v>38694</c:v>
                </c:pt>
                <c:pt idx="13">
                  <c:v>39015</c:v>
                </c:pt>
                <c:pt idx="14">
                  <c:v>37250</c:v>
                </c:pt>
                <c:pt idx="15">
                  <c:v>34649</c:v>
                </c:pt>
                <c:pt idx="16">
                  <c:v>37369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5-4015-8057-7C8A50BBA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'6. Auto sales'!$B$4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sales'!$B$5:$B$21</c:f>
              <c:numCache>
                <c:formatCode>_-* #\ ##0_-;\-* #\ ##0_-;_-* "-"??_-;_-@_-</c:formatCode>
                <c:ptCount val="17"/>
                <c:pt idx="0">
                  <c:v>32257.666666666668</c:v>
                </c:pt>
                <c:pt idx="1">
                  <c:v>22607.333333333332</c:v>
                </c:pt>
                <c:pt idx="3">
                  <c:v>16303</c:v>
                </c:pt>
                <c:pt idx="4">
                  <c:v>32143</c:v>
                </c:pt>
                <c:pt idx="5">
                  <c:v>28889</c:v>
                </c:pt>
                <c:pt idx="6">
                  <c:v>901</c:v>
                </c:pt>
                <c:pt idx="7">
                  <c:v>11901</c:v>
                </c:pt>
                <c:pt idx="8">
                  <c:v>18808</c:v>
                </c:pt>
                <c:pt idx="9">
                  <c:v>25312</c:v>
                </c:pt>
                <c:pt idx="10">
                  <c:v>23029</c:v>
                </c:pt>
                <c:pt idx="11">
                  <c:v>28390</c:v>
                </c:pt>
                <c:pt idx="12">
                  <c:v>33844</c:v>
                </c:pt>
                <c:pt idx="13">
                  <c:v>33825</c:v>
                </c:pt>
                <c:pt idx="14">
                  <c:v>17943</c:v>
                </c:pt>
                <c:pt idx="15">
                  <c:v>22759</c:v>
                </c:pt>
                <c:pt idx="16">
                  <c:v>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283-9249-44A1382FB9B6}"/>
            </c:ext>
          </c:extLst>
        </c:ser>
        <c:ser>
          <c:idx val="1"/>
          <c:order val="1"/>
          <c:tx>
            <c:strRef>
              <c:f>'6. Auto sales'!$C$4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sales'!$A$5:$A$21</c:f>
              <c:strCache>
                <c:ptCount val="17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</c:strCache>
            </c:strRef>
          </c:cat>
          <c:val>
            <c:numRef>
              <c:f>'6. Auto sales'!$C$5:$C$21</c:f>
              <c:numCache>
                <c:formatCode>_-* #\ ##0_-;\-* #\ ##0_-;_-* "-"??_-;_-@_-</c:formatCode>
                <c:ptCount val="17"/>
                <c:pt idx="0">
                  <c:v>44717.666666666664</c:v>
                </c:pt>
                <c:pt idx="1">
                  <c:v>31683.833333333332</c:v>
                </c:pt>
                <c:pt idx="3">
                  <c:v>40413</c:v>
                </c:pt>
                <c:pt idx="4">
                  <c:v>43296</c:v>
                </c:pt>
                <c:pt idx="5">
                  <c:v>33546</c:v>
                </c:pt>
                <c:pt idx="6">
                  <c:v>574</c:v>
                </c:pt>
                <c:pt idx="7">
                  <c:v>12874</c:v>
                </c:pt>
                <c:pt idx="8">
                  <c:v>31643</c:v>
                </c:pt>
                <c:pt idx="9">
                  <c:v>32405</c:v>
                </c:pt>
                <c:pt idx="10">
                  <c:v>33259</c:v>
                </c:pt>
                <c:pt idx="11">
                  <c:v>37237</c:v>
                </c:pt>
                <c:pt idx="12">
                  <c:v>38694</c:v>
                </c:pt>
                <c:pt idx="13">
                  <c:v>39015</c:v>
                </c:pt>
                <c:pt idx="14">
                  <c:v>37250</c:v>
                </c:pt>
                <c:pt idx="15">
                  <c:v>34649</c:v>
                </c:pt>
                <c:pt idx="16">
                  <c:v>37369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283-9249-44A1382FB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'6. Auto sales'!$C$4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sales'!$A$5:$A$24</c:f>
              <c:strCache>
                <c:ptCount val="20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  <c:pt idx="17">
                  <c:v>March</c:v>
                </c:pt>
                <c:pt idx="18">
                  <c:v>April</c:v>
                </c:pt>
                <c:pt idx="19">
                  <c:v>May</c:v>
                </c:pt>
              </c:strCache>
            </c:strRef>
          </c:cat>
          <c:val>
            <c:numRef>
              <c:f>'6. Auto sales'!$C$5:$C$24</c:f>
              <c:numCache>
                <c:formatCode>_-* #\ ##0_-;\-* #\ ##0_-;_-* "-"??_-;_-@_-</c:formatCode>
                <c:ptCount val="20"/>
                <c:pt idx="0">
                  <c:v>44717.666666666664</c:v>
                </c:pt>
                <c:pt idx="1">
                  <c:v>31683.833333333332</c:v>
                </c:pt>
                <c:pt idx="3">
                  <c:v>40413</c:v>
                </c:pt>
                <c:pt idx="4">
                  <c:v>43296</c:v>
                </c:pt>
                <c:pt idx="5">
                  <c:v>33546</c:v>
                </c:pt>
                <c:pt idx="6">
                  <c:v>574</c:v>
                </c:pt>
                <c:pt idx="7">
                  <c:v>12874</c:v>
                </c:pt>
                <c:pt idx="8">
                  <c:v>31643</c:v>
                </c:pt>
                <c:pt idx="9">
                  <c:v>32405</c:v>
                </c:pt>
                <c:pt idx="10">
                  <c:v>33259</c:v>
                </c:pt>
                <c:pt idx="11">
                  <c:v>37237</c:v>
                </c:pt>
                <c:pt idx="12">
                  <c:v>38694</c:v>
                </c:pt>
                <c:pt idx="13">
                  <c:v>39015</c:v>
                </c:pt>
                <c:pt idx="14">
                  <c:v>37250</c:v>
                </c:pt>
                <c:pt idx="15">
                  <c:v>34649</c:v>
                </c:pt>
                <c:pt idx="16">
                  <c:v>37369</c:v>
                </c:pt>
                <c:pt idx="17">
                  <c:v>43428</c:v>
                </c:pt>
                <c:pt idx="18">
                  <c:v>35616</c:v>
                </c:pt>
                <c:pt idx="19">
                  <c:v>38337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B-44E4-9A25-11200807163B}"/>
            </c:ext>
          </c:extLst>
        </c:ser>
        <c:ser>
          <c:idx val="0"/>
          <c:order val="1"/>
          <c:tx>
            <c:strRef>
              <c:f>'6. Auto sales'!$B$4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Auto sales'!$A$5:$A$24</c:f>
              <c:strCache>
                <c:ptCount val="20"/>
                <c:pt idx="0">
                  <c:v>average, 2019</c:v>
                </c:pt>
                <c:pt idx="1">
                  <c:v>average, 2020</c:v>
                </c:pt>
                <c:pt idx="3">
                  <c:v>Jan 2020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  <c:pt idx="13">
                  <c:v>November</c:v>
                </c:pt>
                <c:pt idx="14">
                  <c:v>December</c:v>
                </c:pt>
                <c:pt idx="15">
                  <c:v>Jan 2021</c:v>
                </c:pt>
                <c:pt idx="16">
                  <c:v>February</c:v>
                </c:pt>
                <c:pt idx="17">
                  <c:v>March</c:v>
                </c:pt>
                <c:pt idx="18">
                  <c:v>April</c:v>
                </c:pt>
                <c:pt idx="19">
                  <c:v>May</c:v>
                </c:pt>
              </c:strCache>
            </c:strRef>
          </c:cat>
          <c:val>
            <c:numRef>
              <c:f>'6. Auto sales'!$B$5:$B$24</c:f>
              <c:numCache>
                <c:formatCode>_-* #\ ##0_-;\-* #\ ##0_-;_-* "-"??_-;_-@_-</c:formatCode>
                <c:ptCount val="20"/>
                <c:pt idx="0">
                  <c:v>32257.666666666668</c:v>
                </c:pt>
                <c:pt idx="1">
                  <c:v>22607.333333333332</c:v>
                </c:pt>
                <c:pt idx="3">
                  <c:v>16303</c:v>
                </c:pt>
                <c:pt idx="4">
                  <c:v>32143</c:v>
                </c:pt>
                <c:pt idx="5">
                  <c:v>28889</c:v>
                </c:pt>
                <c:pt idx="6">
                  <c:v>901</c:v>
                </c:pt>
                <c:pt idx="7">
                  <c:v>11901</c:v>
                </c:pt>
                <c:pt idx="8">
                  <c:v>18808</c:v>
                </c:pt>
                <c:pt idx="9">
                  <c:v>25312</c:v>
                </c:pt>
                <c:pt idx="10">
                  <c:v>23029</c:v>
                </c:pt>
                <c:pt idx="11">
                  <c:v>28390</c:v>
                </c:pt>
                <c:pt idx="12">
                  <c:v>33844</c:v>
                </c:pt>
                <c:pt idx="13">
                  <c:v>33825</c:v>
                </c:pt>
                <c:pt idx="14">
                  <c:v>17943</c:v>
                </c:pt>
                <c:pt idx="15">
                  <c:v>22759</c:v>
                </c:pt>
                <c:pt idx="16">
                  <c:v>29722</c:v>
                </c:pt>
                <c:pt idx="17">
                  <c:v>39141</c:v>
                </c:pt>
                <c:pt idx="18">
                  <c:v>25933</c:v>
                </c:pt>
                <c:pt idx="19">
                  <c:v>35326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B-44E4-9A25-11200807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Expenditure on GDP'!$B$6</c:f>
              <c:strCache>
                <c:ptCount val="1"/>
                <c:pt idx="0">
                  <c:v>Dec-19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GDP'!$A$7:$A$11</c:f>
              <c:strCache>
                <c:ptCount val="5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GDP'!$B$7:$B$11</c:f>
              <c:numCache>
                <c:formatCode>_-* #\ ##0.0_-;\-* #\ ##0.0_-;_-* "-"??_-;_-@_-</c:formatCode>
                <c:ptCount val="5"/>
                <c:pt idx="0">
                  <c:v>3.2029348992664777</c:v>
                </c:pt>
                <c:pt idx="1">
                  <c:v>1.1599168340465995</c:v>
                </c:pt>
                <c:pt idx="2">
                  <c:v>0.96909448430861411</c:v>
                </c:pt>
                <c:pt idx="3">
                  <c:v>1.857463218053278</c:v>
                </c:pt>
                <c:pt idx="4">
                  <c:v>1.520145110063915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0-46C5-A064-BC7EDCA48A19}"/>
            </c:ext>
          </c:extLst>
        </c:ser>
        <c:ser>
          <c:idx val="1"/>
          <c:order val="1"/>
          <c:tx>
            <c:strRef>
              <c:f>'7. Expenditure on GDP'!$C$6</c:f>
              <c:strCache>
                <c:ptCount val="1"/>
                <c:pt idx="0">
                  <c:v>Mar-20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GDP'!$A$7:$A$11</c:f>
              <c:strCache>
                <c:ptCount val="5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GDP'!$C$7:$C$11</c:f>
              <c:numCache>
                <c:formatCode>_-* #\ ##0.0_-;\-* #\ ##0.0_-;_-* "-"??_-;_-@_-</c:formatCode>
                <c:ptCount val="5"/>
                <c:pt idx="0">
                  <c:v>3.2030303314443018</c:v>
                </c:pt>
                <c:pt idx="1">
                  <c:v>1.1652286030028711</c:v>
                </c:pt>
                <c:pt idx="2">
                  <c:v>0.92012894102225928</c:v>
                </c:pt>
                <c:pt idx="3">
                  <c:v>1.8530385986724571</c:v>
                </c:pt>
                <c:pt idx="4">
                  <c:v>1.4455384168319427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0-46C5-A064-BC7EDCA48A19}"/>
            </c:ext>
          </c:extLst>
        </c:ser>
        <c:ser>
          <c:idx val="2"/>
          <c:order val="2"/>
          <c:tx>
            <c:strRef>
              <c:f>'7. Expenditure on GDP'!$D$6</c:f>
              <c:strCache>
                <c:ptCount val="1"/>
                <c:pt idx="0">
                  <c:v>Jun-20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'7. Expenditure on GDP'!$A$7:$A$11</c:f>
              <c:strCache>
                <c:ptCount val="5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GDP'!$D$7:$D$11</c:f>
              <c:numCache>
                <c:formatCode>_-* #\ ##0.0_-;\-* #\ ##0.0_-;_-* "-"??_-;_-@_-</c:formatCode>
                <c:ptCount val="5"/>
                <c:pt idx="0">
                  <c:v>2.666590716780501</c:v>
                </c:pt>
                <c:pt idx="1">
                  <c:v>1.1589872701972379</c:v>
                </c:pt>
                <c:pt idx="2">
                  <c:v>0.73441173937848669</c:v>
                </c:pt>
                <c:pt idx="3">
                  <c:v>1.2874681324254469</c:v>
                </c:pt>
                <c:pt idx="4">
                  <c:v>1.1984081873542234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0-46C5-A064-BC7EDCA48A19}"/>
            </c:ext>
          </c:extLst>
        </c:ser>
        <c:ser>
          <c:idx val="3"/>
          <c:order val="3"/>
          <c:tx>
            <c:strRef>
              <c:f>'7. Expenditure on GDP'!$E$6</c:f>
              <c:strCache>
                <c:ptCount val="1"/>
                <c:pt idx="0">
                  <c:v>Sep-20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GDP'!$A$7:$A$11</c:f>
              <c:strCache>
                <c:ptCount val="5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GDP'!$E$7:$E$11</c:f>
              <c:numCache>
                <c:formatCode>_-* #\ ##0.0_-;\-* #\ ##0.0_-;_-* "-"??_-;_-@_-</c:formatCode>
                <c:ptCount val="5"/>
                <c:pt idx="0">
                  <c:v>3.0682980294113276</c:v>
                </c:pt>
                <c:pt idx="1">
                  <c:v>1.1611797852638546</c:v>
                </c:pt>
                <c:pt idx="2">
                  <c:v>0.77942835439276759</c:v>
                </c:pt>
                <c:pt idx="3">
                  <c:v>1.6862550617412484</c:v>
                </c:pt>
                <c:pt idx="4">
                  <c:v>1.1925827528993151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B0-46C5-A064-BC7EDCA48A19}"/>
            </c:ext>
          </c:extLst>
        </c:ser>
        <c:ser>
          <c:idx val="4"/>
          <c:order val="4"/>
          <c:tx>
            <c:strRef>
              <c:f>'7. Expenditure on GDP'!$F$6</c:f>
              <c:strCache>
                <c:ptCount val="1"/>
                <c:pt idx="0">
                  <c:v>Dec-20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GDP'!$A$7:$A$11</c:f>
              <c:strCache>
                <c:ptCount val="5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GDP'!$F$7:$F$11</c:f>
              <c:numCache>
                <c:formatCode>_-* #\ ##0.0_-;\-* #\ ##0.0_-;_-* "-"??_-;_-@_-</c:formatCode>
                <c:ptCount val="5"/>
                <c:pt idx="0">
                  <c:v>3.1240879894163895</c:v>
                </c:pt>
                <c:pt idx="1">
                  <c:v>1.1643322780046641</c:v>
                </c:pt>
                <c:pt idx="2">
                  <c:v>0.80200449692352549</c:v>
                </c:pt>
                <c:pt idx="3">
                  <c:v>1.7885414748432915</c:v>
                </c:pt>
                <c:pt idx="4">
                  <c:v>1.3250846639353948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B0-46C5-A064-BC7EDCA48A19}"/>
            </c:ext>
          </c:extLst>
        </c:ser>
        <c:ser>
          <c:idx val="5"/>
          <c:order val="5"/>
          <c:tx>
            <c:strRef>
              <c:f>'7. Expenditure on GDP'!$G$6</c:f>
              <c:strCache>
                <c:ptCount val="1"/>
                <c:pt idx="0">
                  <c:v>Mar-21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Expenditure on GDP'!$A$7:$A$11</c:f>
              <c:strCache>
                <c:ptCount val="5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Imports</c:v>
                </c:pt>
              </c:strCache>
            </c:strRef>
          </c:cat>
          <c:val>
            <c:numRef>
              <c:f>'7. Expenditure on GDP'!$G$7:$G$11</c:f>
              <c:numCache>
                <c:formatCode>_-* #\ ##0.0_-;\-* #\ ##0.0_-;_-* "-"??_-;_-@_-</c:formatCode>
                <c:ptCount val="5"/>
                <c:pt idx="0">
                  <c:v>3.1600123276607532</c:v>
                </c:pt>
                <c:pt idx="1">
                  <c:v>1.1672297128287796</c:v>
                </c:pt>
                <c:pt idx="2">
                  <c:v>0.79680748880511298</c:v>
                </c:pt>
                <c:pt idx="3">
                  <c:v>1.7847164339462596</c:v>
                </c:pt>
                <c:pt idx="4">
                  <c:v>1.4053297507531508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B0-46C5-A064-BC7EDCA4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64407</xdr:colOff>
      <xdr:row>1</xdr:row>
      <xdr:rowOff>311156</xdr:rowOff>
    </xdr:from>
    <xdr:to>
      <xdr:col>21</xdr:col>
      <xdr:colOff>544285</xdr:colOff>
      <xdr:row>22</xdr:row>
      <xdr:rowOff>108857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0.78424</cdr:x>
      <cdr:y>0.09086</cdr:y>
    </cdr:from>
    <cdr:to>
      <cdr:x>0.91046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200248" y="581357"/>
          <a:ext cx="1319804" cy="5817024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7569659" y="2519304"/>
    <xdr:ext cx="13073061" cy="5000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3473937" y="2187820"/>
    <xdr:ext cx="11827120" cy="58107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287647" y="723470"/>
    <xdr:ext cx="9305192" cy="60813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100293" y="753632"/>
    <xdr:ext cx="7153835" cy="35344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2473214" y="514048"/>
    <xdr:ext cx="7994785" cy="4199805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1065876" y="562308"/>
    <xdr:ext cx="7946683" cy="4222665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344805</xdr:colOff>
      <xdr:row>12</xdr:row>
      <xdr:rowOff>175460</xdr:rowOff>
    </xdr:from>
    <xdr:to>
      <xdr:col>11</xdr:col>
      <xdr:colOff>245745</xdr:colOff>
      <xdr:row>33</xdr:row>
      <xdr:rowOff>164223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587878</xdr:colOff>
      <xdr:row>12</xdr:row>
      <xdr:rowOff>167301</xdr:rowOff>
    </xdr:from>
    <xdr:to>
      <xdr:col>22</xdr:col>
      <xdr:colOff>580258</xdr:colOff>
      <xdr:row>33</xdr:row>
      <xdr:rowOff>164225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2633816" y="802037"/>
    <xdr:ext cx="9305192" cy="49393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77981</xdr:rowOff>
    </xdr:from>
    <xdr:to>
      <xdr:col>10</xdr:col>
      <xdr:colOff>516255</xdr:colOff>
      <xdr:row>33</xdr:row>
      <xdr:rowOff>51287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22772</xdr:colOff>
      <xdr:row>13</xdr:row>
      <xdr:rowOff>71630</xdr:rowOff>
    </xdr:from>
    <xdr:to>
      <xdr:col>22</xdr:col>
      <xdr:colOff>30392</xdr:colOff>
      <xdr:row>33</xdr:row>
      <xdr:rowOff>60490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252760" y="294217"/>
    <xdr:ext cx="9276953" cy="48492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790782" y="588697"/>
    <xdr:ext cx="13060494" cy="72429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5321904" y="963839"/>
    <xdr:ext cx="9305192" cy="49628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17</xdr:row>
      <xdr:rowOff>98424</xdr:rowOff>
    </xdr:from>
    <xdr:to>
      <xdr:col>10</xdr:col>
      <xdr:colOff>76200</xdr:colOff>
      <xdr:row>37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15</xdr:col>
      <xdr:colOff>215900</xdr:colOff>
      <xdr:row>23</xdr:row>
      <xdr:rowOff>27144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392544" y="1553886"/>
    <xdr:ext cx="9295694" cy="50552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67368" y="5265027"/>
    <xdr:ext cx="9305192" cy="5245652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2691190"/>
    <xdr:ext cx="9305192" cy="5319579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3943350" y="59480449"/>
    <xdr:ext cx="9305192" cy="53571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323617" y="60716809"/>
    <xdr:ext cx="9305192" cy="5350212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2462561" y="913781"/>
    <xdr:ext cx="9305192" cy="6081346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4762500"/>
    <xdr:ext cx="9305192" cy="4978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3416685" y="248035"/>
    <xdr:ext cx="9295694" cy="49702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486492" y="6329455"/>
    <xdr:ext cx="10456333" cy="63983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budgets/budget%20trends%20from%202000%20March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for_QLFS_Q1_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B%20Q1%202021%20-%20trade%20data%20for%20display%20-%200705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ining%20exports%20comp%202011%20quantec%20june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QFS_Liako_Q4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0"/>
      <sheetName val="Sheet2"/>
      <sheetName val="comp GDP"/>
      <sheetName val="Chart1"/>
      <sheetName val="Chart3"/>
      <sheetName val="Chart4"/>
      <sheetName val="revenue and exp"/>
      <sheetName val="Chart7"/>
      <sheetName val="exp by econ class"/>
      <sheetName val="Chart8"/>
      <sheetName val="Chart9"/>
      <sheetName val="consol functions table"/>
      <sheetName val="exp by function"/>
      <sheetName val="modelled re soc grants and remu"/>
      <sheetName val="Sheet3"/>
      <sheetName val="defence police correx personnel"/>
    </sheetNames>
    <sheetDataSet>
      <sheetData sheetId="0" refreshError="1"/>
      <sheetData sheetId="1" refreshError="1"/>
      <sheetData sheetId="2">
        <row r="6">
          <cell r="G6" t="str">
            <v>Total revenue</v>
          </cell>
          <cell r="H6" t="str">
            <v xml:space="preserve">Total expenditure </v>
          </cell>
          <cell r="I6" t="str">
            <v>GDP</v>
          </cell>
        </row>
        <row r="7">
          <cell r="E7" t="str">
            <v>commodity boom</v>
          </cell>
          <cell r="F7">
            <v>2002</v>
          </cell>
          <cell r="G7">
            <v>5.9260439605166582E-2</v>
          </cell>
          <cell r="H7">
            <v>5.4172348950495497E-2</v>
          </cell>
          <cell r="I7">
            <v>3.6677968768751512E-2</v>
          </cell>
        </row>
        <row r="8">
          <cell r="F8">
            <v>2003</v>
          </cell>
          <cell r="G8">
            <v>-1.3930018638602437E-2</v>
          </cell>
          <cell r="H8">
            <v>5.3854124103765999E-2</v>
          </cell>
          <cell r="I8">
            <v>2.9490781458874959E-2</v>
          </cell>
        </row>
        <row r="9">
          <cell r="F9">
            <v>2004</v>
          </cell>
          <cell r="G9">
            <v>5.6507846139999707E-2</v>
          </cell>
          <cell r="H9">
            <v>2.1593829662230446E-2</v>
          </cell>
          <cell r="I9">
            <v>4.5545699205685519E-2</v>
          </cell>
        </row>
        <row r="10">
          <cell r="F10">
            <v>2005</v>
          </cell>
          <cell r="G10">
            <v>0.19009148964738709</v>
          </cell>
          <cell r="H10">
            <v>0.10911344795123212</v>
          </cell>
          <cell r="I10">
            <v>5.2771117349823538E-2</v>
          </cell>
        </row>
        <row r="11">
          <cell r="F11">
            <v>2006</v>
          </cell>
          <cell r="G11">
            <v>0.12544970344637485</v>
          </cell>
          <cell r="H11">
            <v>9.4935247085172314E-2</v>
          </cell>
          <cell r="I11">
            <v>5.6036647889724067E-2</v>
          </cell>
        </row>
        <row r="12">
          <cell r="F12">
            <v>2007</v>
          </cell>
          <cell r="G12">
            <v>0.12308330615788643</v>
          </cell>
          <cell r="H12">
            <v>0.1056489402694194</v>
          </cell>
          <cell r="I12">
            <v>5.360465139616144E-2</v>
          </cell>
        </row>
        <row r="13">
          <cell r="F13">
            <v>2008</v>
          </cell>
          <cell r="G13">
            <v>3.3149385878097126E-2</v>
          </cell>
          <cell r="H13">
            <v>0.11244586618213392</v>
          </cell>
          <cell r="I13">
            <v>3.1910516450526449E-2</v>
          </cell>
        </row>
        <row r="14">
          <cell r="F14">
            <v>2009</v>
          </cell>
          <cell r="G14">
            <v>-0.14163784274458302</v>
          </cell>
          <cell r="H14">
            <v>5.5498391050067042E-2</v>
          </cell>
          <cell r="I14">
            <v>-1.5381008639149374E-2</v>
          </cell>
        </row>
        <row r="15">
          <cell r="F15">
            <v>2010</v>
          </cell>
          <cell r="G15">
            <v>5.0022317072936806E-2</v>
          </cell>
          <cell r="H15">
            <v>-1.4119746647963893E-2</v>
          </cell>
          <cell r="I15">
            <v>3.039777062767457E-2</v>
          </cell>
        </row>
        <row r="16">
          <cell r="F16">
            <v>2011</v>
          </cell>
          <cell r="G16">
            <v>5.424652356951043E-2</v>
          </cell>
          <cell r="H16">
            <v>5.0736463863393588E-2</v>
          </cell>
          <cell r="I16">
            <v>3.2841971347972843E-2</v>
          </cell>
        </row>
        <row r="17">
          <cell r="E17" t="str">
            <v>post commodity boom</v>
          </cell>
          <cell r="F17">
            <v>2012</v>
          </cell>
          <cell r="G17">
            <v>3.1063486128757312E-2</v>
          </cell>
          <cell r="H17">
            <v>4.1952029599343188E-2</v>
          </cell>
          <cell r="I17">
            <v>2.213258977865995E-2</v>
          </cell>
        </row>
        <row r="18">
          <cell r="F18">
            <v>2013</v>
          </cell>
          <cell r="G18">
            <v>4.6128505418494559E-2</v>
          </cell>
          <cell r="H18">
            <v>2.3670794707034704E-2</v>
          </cell>
          <cell r="I18">
            <v>2.4852847702025116E-2</v>
          </cell>
        </row>
        <row r="19">
          <cell r="F19">
            <v>2014</v>
          </cell>
          <cell r="G19">
            <v>2.7117068206242489E-2</v>
          </cell>
          <cell r="H19">
            <v>1.9851088034716691E-2</v>
          </cell>
          <cell r="I19">
            <v>1.8469811407060943E-2</v>
          </cell>
        </row>
        <row r="20">
          <cell r="F20">
            <v>2015</v>
          </cell>
          <cell r="G20">
            <v>5.0824300088446961E-2</v>
          </cell>
          <cell r="H20">
            <v>3.6537477775714367E-2</v>
          </cell>
          <cell r="I20">
            <v>1.1937227757431224E-2</v>
          </cell>
        </row>
        <row r="21">
          <cell r="F21">
            <v>2016</v>
          </cell>
          <cell r="G21">
            <v>1.6499803217632447E-2</v>
          </cell>
          <cell r="H21">
            <v>8.3510109394735466E-3</v>
          </cell>
          <cell r="I21">
            <v>3.990552950049242E-3</v>
          </cell>
        </row>
        <row r="22">
          <cell r="F22">
            <v>2017</v>
          </cell>
          <cell r="G22">
            <v>-1.0793013612344415E-2</v>
          </cell>
          <cell r="H22">
            <v>1.2622775325712432E-2</v>
          </cell>
          <cell r="I22">
            <v>1.4145780953139342E-2</v>
          </cell>
        </row>
        <row r="23">
          <cell r="F23">
            <v>2018</v>
          </cell>
          <cell r="G23">
            <v>4.4794352427546258E-3</v>
          </cell>
          <cell r="H23">
            <v>1.0515790350304366E-2</v>
          </cell>
          <cell r="I23">
            <v>7.870232667859911E-3</v>
          </cell>
        </row>
        <row r="24">
          <cell r="F24">
            <v>2019</v>
          </cell>
          <cell r="G24">
            <v>1.6604082407857712E-2</v>
          </cell>
          <cell r="H24">
            <v>8.112386006734762E-2</v>
          </cell>
          <cell r="I24">
            <v>1.5258198419545455E-3</v>
          </cell>
        </row>
        <row r="25">
          <cell r="E25" t="str">
            <v>pandemic</v>
          </cell>
          <cell r="F25">
            <v>2020</v>
          </cell>
          <cell r="G25">
            <v>-0.14638126140704399</v>
          </cell>
          <cell r="H25">
            <v>2.0836485826362106E-2</v>
          </cell>
          <cell r="I25">
            <v>-6.9595918124989442E-2</v>
          </cell>
        </row>
        <row r="26">
          <cell r="F26">
            <v>2021</v>
          </cell>
          <cell r="G26">
            <v>8.0863892074758859E-2</v>
          </cell>
          <cell r="H26">
            <v>-2.3784402989017739E-2</v>
          </cell>
          <cell r="I26">
            <v>5.4000000000000048E-2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Employment by sector "/>
      <sheetName val="9. Employment in mfg and other"/>
      <sheetName val="10. Employment by occupation"/>
      <sheetName val="11. Empl by mfg industry"/>
      <sheetName val="12. Mining employment"/>
    </sheetNames>
    <sheetDataSet>
      <sheetData sheetId="0">
        <row r="3">
          <cell r="B3">
            <v>2008</v>
          </cell>
          <cell r="C3">
            <v>2009</v>
          </cell>
          <cell r="D3">
            <v>2010</v>
          </cell>
          <cell r="E3">
            <v>2011</v>
          </cell>
          <cell r="F3">
            <v>2012</v>
          </cell>
          <cell r="G3">
            <v>2013</v>
          </cell>
          <cell r="H3">
            <v>2014</v>
          </cell>
          <cell r="I3">
            <v>2015</v>
          </cell>
          <cell r="J3">
            <v>2016</v>
          </cell>
          <cell r="K3">
            <v>2017</v>
          </cell>
          <cell r="L3">
            <v>2018</v>
          </cell>
          <cell r="M3">
            <v>2019</v>
          </cell>
          <cell r="N3">
            <v>2020</v>
          </cell>
          <cell r="O3" t="str">
            <v>Q4 2020</v>
          </cell>
          <cell r="P3" t="str">
            <v>Q1 2021</v>
          </cell>
        </row>
        <row r="4">
          <cell r="A4" t="str">
            <v>Agriculture</v>
          </cell>
          <cell r="B4">
            <v>840</v>
          </cell>
          <cell r="C4">
            <v>780</v>
          </cell>
          <cell r="D4">
            <v>680</v>
          </cell>
          <cell r="E4">
            <v>630</v>
          </cell>
          <cell r="F4">
            <v>690</v>
          </cell>
          <cell r="G4">
            <v>760</v>
          </cell>
          <cell r="H4">
            <v>710</v>
          </cell>
          <cell r="I4">
            <v>890</v>
          </cell>
          <cell r="J4">
            <v>870</v>
          </cell>
          <cell r="K4">
            <v>880</v>
          </cell>
          <cell r="L4">
            <v>850</v>
          </cell>
          <cell r="M4">
            <v>840</v>
          </cell>
          <cell r="N4">
            <v>860</v>
          </cell>
          <cell r="O4">
            <v>810</v>
          </cell>
          <cell r="P4">
            <v>790</v>
          </cell>
        </row>
        <row r="5">
          <cell r="A5" t="str">
            <v>Manufacturing</v>
          </cell>
          <cell r="B5">
            <v>2110</v>
          </cell>
          <cell r="C5">
            <v>2030</v>
          </cell>
          <cell r="D5">
            <v>1850</v>
          </cell>
          <cell r="E5">
            <v>1910</v>
          </cell>
          <cell r="F5">
            <v>1840</v>
          </cell>
          <cell r="G5">
            <v>1860</v>
          </cell>
          <cell r="H5">
            <v>1800</v>
          </cell>
          <cell r="I5">
            <v>1780</v>
          </cell>
          <cell r="J5">
            <v>1640</v>
          </cell>
          <cell r="K5">
            <v>1790</v>
          </cell>
          <cell r="L5">
            <v>1850</v>
          </cell>
          <cell r="M5">
            <v>1780</v>
          </cell>
          <cell r="N5">
            <v>1710</v>
          </cell>
          <cell r="O5">
            <v>1490</v>
          </cell>
          <cell r="P5">
            <v>1500</v>
          </cell>
        </row>
        <row r="6">
          <cell r="A6" t="str">
            <v>Utilities</v>
          </cell>
          <cell r="B6">
            <v>100</v>
          </cell>
          <cell r="C6">
            <v>110</v>
          </cell>
          <cell r="D6">
            <v>80</v>
          </cell>
          <cell r="E6">
            <v>100</v>
          </cell>
          <cell r="F6">
            <v>90</v>
          </cell>
          <cell r="G6">
            <v>120</v>
          </cell>
          <cell r="H6">
            <v>130</v>
          </cell>
          <cell r="I6">
            <v>140</v>
          </cell>
          <cell r="J6">
            <v>110</v>
          </cell>
          <cell r="K6">
            <v>150</v>
          </cell>
          <cell r="L6">
            <v>140</v>
          </cell>
          <cell r="M6">
            <v>150</v>
          </cell>
          <cell r="N6">
            <v>120</v>
          </cell>
          <cell r="O6">
            <v>100</v>
          </cell>
          <cell r="P6">
            <v>120</v>
          </cell>
        </row>
        <row r="7">
          <cell r="A7" t="str">
            <v>Construction</v>
          </cell>
          <cell r="B7">
            <v>1180</v>
          </cell>
          <cell r="C7">
            <v>1220</v>
          </cell>
          <cell r="D7">
            <v>1100</v>
          </cell>
          <cell r="E7">
            <v>1090</v>
          </cell>
          <cell r="F7">
            <v>1040</v>
          </cell>
          <cell r="G7">
            <v>1080</v>
          </cell>
          <cell r="H7">
            <v>1200</v>
          </cell>
          <cell r="I7">
            <v>1320</v>
          </cell>
          <cell r="J7">
            <v>1360</v>
          </cell>
          <cell r="K7">
            <v>1510</v>
          </cell>
          <cell r="L7">
            <v>1430</v>
          </cell>
          <cell r="M7">
            <v>1340</v>
          </cell>
          <cell r="N7">
            <v>1340</v>
          </cell>
          <cell r="O7">
            <v>1170</v>
          </cell>
          <cell r="P7">
            <v>1080</v>
          </cell>
        </row>
        <row r="8">
          <cell r="A8" t="str">
            <v>Other (right axis)</v>
          </cell>
          <cell r="B8">
            <v>10.205421618896423</v>
          </cell>
          <cell r="C8">
            <v>10.472653938963369</v>
          </cell>
          <cell r="D8">
            <v>10.084792919698881</v>
          </cell>
          <cell r="E8">
            <v>10.17731696152218</v>
          </cell>
          <cell r="F8">
            <v>10.616010197175939</v>
          </cell>
          <cell r="G8">
            <v>10.730523662317248</v>
          </cell>
          <cell r="H8">
            <v>11.213037213440469</v>
          </cell>
          <cell r="I8">
            <v>11.324768457460547</v>
          </cell>
          <cell r="J8">
            <v>11.687868052061802</v>
          </cell>
          <cell r="K8">
            <v>11.896543919969721</v>
          </cell>
          <cell r="L8">
            <v>12.108233094169332</v>
          </cell>
          <cell r="M8">
            <v>12.185543918928349</v>
          </cell>
          <cell r="N8">
            <v>12.353139000000001</v>
          </cell>
          <cell r="O8">
            <v>11.457518888150862</v>
          </cell>
          <cell r="P8">
            <v>11.511859000000001</v>
          </cell>
        </row>
      </sheetData>
      <sheetData sheetId="1">
        <row r="4">
          <cell r="B4">
            <v>2008</v>
          </cell>
          <cell r="F4">
            <v>2009</v>
          </cell>
          <cell r="J4">
            <v>2010</v>
          </cell>
          <cell r="N4">
            <v>2011</v>
          </cell>
          <cell r="R4">
            <v>2012</v>
          </cell>
          <cell r="V4">
            <v>2013</v>
          </cell>
          <cell r="Z4">
            <v>2014</v>
          </cell>
          <cell r="AD4">
            <v>2015</v>
          </cell>
          <cell r="AH4">
            <v>2016</v>
          </cell>
          <cell r="AL4">
            <v>2017</v>
          </cell>
          <cell r="AP4">
            <v>2018</v>
          </cell>
          <cell r="AT4">
            <v>2019</v>
          </cell>
          <cell r="AX4">
            <v>2020</v>
          </cell>
          <cell r="BB4" t="str">
            <v>Q1 2021</v>
          </cell>
        </row>
        <row r="5">
          <cell r="A5" t="str">
            <v>Base</v>
          </cell>
          <cell r="B5">
            <v>100</v>
          </cell>
          <cell r="C5">
            <v>100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>
            <v>100</v>
          </cell>
          <cell r="J5">
            <v>100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>
            <v>100</v>
          </cell>
          <cell r="T5">
            <v>100</v>
          </cell>
          <cell r="U5">
            <v>100</v>
          </cell>
          <cell r="V5">
            <v>100</v>
          </cell>
          <cell r="W5">
            <v>100</v>
          </cell>
          <cell r="X5">
            <v>100</v>
          </cell>
          <cell r="Y5">
            <v>100</v>
          </cell>
          <cell r="Z5">
            <v>100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>
            <v>100</v>
          </cell>
          <cell r="AF5">
            <v>100</v>
          </cell>
          <cell r="AG5">
            <v>100</v>
          </cell>
          <cell r="AH5">
            <v>100</v>
          </cell>
          <cell r="AI5">
            <v>100</v>
          </cell>
          <cell r="AJ5">
            <v>100</v>
          </cell>
          <cell r="AK5">
            <v>100</v>
          </cell>
          <cell r="AL5">
            <v>100</v>
          </cell>
          <cell r="AM5">
            <v>100</v>
          </cell>
          <cell r="AN5">
            <v>100</v>
          </cell>
          <cell r="AO5">
            <v>100</v>
          </cell>
          <cell r="AP5">
            <v>100</v>
          </cell>
          <cell r="AQ5">
            <v>100</v>
          </cell>
          <cell r="AR5">
            <v>100</v>
          </cell>
          <cell r="AS5">
            <v>100</v>
          </cell>
          <cell r="AT5">
            <v>100</v>
          </cell>
          <cell r="AU5">
            <v>100</v>
          </cell>
          <cell r="AV5">
            <v>100</v>
          </cell>
          <cell r="AW5">
            <v>100</v>
          </cell>
          <cell r="AX5">
            <v>100</v>
          </cell>
          <cell r="AY5">
            <v>100</v>
          </cell>
          <cell r="AZ5">
            <v>100</v>
          </cell>
          <cell r="BA5">
            <v>100</v>
          </cell>
          <cell r="BB5">
            <v>100</v>
          </cell>
        </row>
        <row r="6">
          <cell r="A6" t="str">
            <v>Manufacturing</v>
          </cell>
          <cell r="B6">
            <v>100</v>
          </cell>
          <cell r="C6">
            <v>99.416815108848652</v>
          </cell>
          <cell r="D6">
            <v>97.350246847756537</v>
          </cell>
          <cell r="E6">
            <v>99.330945876920779</v>
          </cell>
          <cell r="F6">
            <v>96.2185343855908</v>
          </cell>
          <cell r="G6">
            <v>96.232680515496199</v>
          </cell>
          <cell r="H6">
            <v>88.353741857368234</v>
          </cell>
          <cell r="I6">
            <v>89.340634413858382</v>
          </cell>
          <cell r="J6">
            <v>87.449184837843433</v>
          </cell>
          <cell r="K6">
            <v>85.561578809686523</v>
          </cell>
          <cell r="L6">
            <v>85.949646539455145</v>
          </cell>
          <cell r="M6">
            <v>89.451281491554468</v>
          </cell>
          <cell r="N6">
            <v>90.266583579055677</v>
          </cell>
          <cell r="O6">
            <v>86.78327389149419</v>
          </cell>
          <cell r="P6">
            <v>86.978848883819651</v>
          </cell>
          <cell r="Q6">
            <v>90.435989131074436</v>
          </cell>
          <cell r="R6">
            <v>87.038078201555123</v>
          </cell>
          <cell r="S6">
            <v>84.369510125257108</v>
          </cell>
          <cell r="T6">
            <v>86.807381316404928</v>
          </cell>
          <cell r="U6">
            <v>85.941372172286847</v>
          </cell>
          <cell r="V6">
            <v>87.917187617573433</v>
          </cell>
          <cell r="W6">
            <v>87.047456711501241</v>
          </cell>
          <cell r="X6">
            <v>84.224105122238726</v>
          </cell>
          <cell r="Y6">
            <v>83.661493886692256</v>
          </cell>
          <cell r="Z6">
            <v>85.453145914671609</v>
          </cell>
          <cell r="AA6">
            <v>82.633087453494696</v>
          </cell>
          <cell r="AB6">
            <v>82.43761318187552</v>
          </cell>
          <cell r="AC6">
            <v>82.859318444856072</v>
          </cell>
          <cell r="AD6">
            <v>84.241728153874433</v>
          </cell>
          <cell r="AE6">
            <v>83.17301641925809</v>
          </cell>
          <cell r="AF6">
            <v>84.037614692946661</v>
          </cell>
          <cell r="AG6">
            <v>82.325790419829019</v>
          </cell>
          <cell r="AH6">
            <v>77.89904614213404</v>
          </cell>
          <cell r="AI6">
            <v>81.06420748790822</v>
          </cell>
          <cell r="AJ6">
            <v>79.721997543334012</v>
          </cell>
          <cell r="AK6">
            <v>81.815294299576252</v>
          </cell>
          <cell r="AL6">
            <v>84.77134258550295</v>
          </cell>
          <cell r="AM6">
            <v>85.22514883289027</v>
          </cell>
          <cell r="AN6">
            <v>82.840993010741542</v>
          </cell>
          <cell r="AO6">
            <v>84.811385238996365</v>
          </cell>
          <cell r="AP6">
            <v>87.577199886306516</v>
          </cell>
          <cell r="AQ6">
            <v>82.606470401255166</v>
          </cell>
          <cell r="AR6">
            <v>81.399108296164371</v>
          </cell>
          <cell r="AS6">
            <v>83.654271705079822</v>
          </cell>
          <cell r="AT6">
            <v>84.312355198127747</v>
          </cell>
          <cell r="AU6">
            <v>84.752922859375502</v>
          </cell>
          <cell r="AV6">
            <v>83.355667649783555</v>
          </cell>
          <cell r="AW6">
            <v>81.484922853490474</v>
          </cell>
          <cell r="AX6">
            <v>80.795764240113527</v>
          </cell>
          <cell r="AY6">
            <v>68.953950549984228</v>
          </cell>
          <cell r="AZ6">
            <v>69.132443726935051</v>
          </cell>
          <cell r="BA6">
            <v>70.60253283028473</v>
          </cell>
          <cell r="BB6">
            <v>70.923609729753466</v>
          </cell>
        </row>
        <row r="7">
          <cell r="A7" t="str">
            <v>Total ex manufacturing</v>
          </cell>
          <cell r="B7">
            <v>100</v>
          </cell>
          <cell r="C7">
            <v>101.29045841176602</v>
          </cell>
          <cell r="D7">
            <v>101.35248623208383</v>
          </cell>
          <cell r="E7">
            <v>102.79954680739314</v>
          </cell>
          <cell r="F7">
            <v>102.08981354763935</v>
          </cell>
          <cell r="G7">
            <v>99.989936415360958</v>
          </cell>
          <cell r="H7">
            <v>97.062774634476995</v>
          </cell>
          <cell r="I7">
            <v>98.055786597880527</v>
          </cell>
          <cell r="J7">
            <v>96.953685508968192</v>
          </cell>
          <cell r="K7">
            <v>97.370001165657712</v>
          </cell>
          <cell r="L7">
            <v>95.997939798541495</v>
          </cell>
          <cell r="M7">
            <v>97.429314561209921</v>
          </cell>
          <cell r="N7">
            <v>97.333815860156122</v>
          </cell>
          <cell r="O7">
            <v>98.078216981383235</v>
          </cell>
          <cell r="P7">
            <v>99.639476202806577</v>
          </cell>
          <cell r="Q7">
            <v>100.81612132438585</v>
          </cell>
          <cell r="R7">
            <v>100.9735199927176</v>
          </cell>
          <cell r="S7">
            <v>101.80329218931115</v>
          </cell>
          <cell r="T7">
            <v>103.26461176692013</v>
          </cell>
          <cell r="U7">
            <v>103.10657335297077</v>
          </cell>
          <cell r="V7">
            <v>103.04823632702815</v>
          </cell>
          <cell r="W7">
            <v>104.27751224370314</v>
          </cell>
          <cell r="X7">
            <v>107.55432398604306</v>
          </cell>
          <cell r="Y7">
            <v>108.7938547693162</v>
          </cell>
          <cell r="Z7">
            <v>107.49753074048454</v>
          </cell>
          <cell r="AA7">
            <v>108.30061470991473</v>
          </cell>
          <cell r="AB7">
            <v>108.51521509221004</v>
          </cell>
          <cell r="AC7">
            <v>110.09019488257019</v>
          </cell>
          <cell r="AD7">
            <v>110.98763023895444</v>
          </cell>
          <cell r="AE7">
            <v>112.77360212222796</v>
          </cell>
          <cell r="AF7">
            <v>114.0163146529942</v>
          </cell>
          <cell r="AG7">
            <v>115.84791208937834</v>
          </cell>
          <cell r="AH7">
            <v>113.81899635296018</v>
          </cell>
          <cell r="AI7">
            <v>112.22979438293666</v>
          </cell>
          <cell r="AJ7">
            <v>114.79408497046846</v>
          </cell>
          <cell r="AK7">
            <v>116.34539525200569</v>
          </cell>
          <cell r="AL7">
            <v>117.00436297854178</v>
          </cell>
          <cell r="AM7">
            <v>116.01361553174337</v>
          </cell>
          <cell r="AN7">
            <v>117.1680347357039</v>
          </cell>
          <cell r="AO7">
            <v>116.66306410295245</v>
          </cell>
          <cell r="AP7">
            <v>117.86457330252131</v>
          </cell>
          <cell r="AQ7">
            <v>117.98810159677228</v>
          </cell>
          <cell r="AR7">
            <v>118.94345722391586</v>
          </cell>
          <cell r="AS7">
            <v>119.76292947575151</v>
          </cell>
          <cell r="AT7">
            <v>117.72538538707438</v>
          </cell>
          <cell r="AU7">
            <v>117.82247705533555</v>
          </cell>
          <cell r="AV7">
            <v>118.56724133985051</v>
          </cell>
          <cell r="AW7">
            <v>119.25484243171496</v>
          </cell>
          <cell r="AX7">
            <v>119.06693000797375</v>
          </cell>
          <cell r="AY7">
            <v>102.96882345922246</v>
          </cell>
          <cell r="AZ7">
            <v>107.34060786972086</v>
          </cell>
          <cell r="BA7">
            <v>109.78773655447557</v>
          </cell>
          <cell r="BB7">
            <v>109.50397149841442</v>
          </cell>
        </row>
      </sheetData>
      <sheetData sheetId="2">
        <row r="2">
          <cell r="C2" t="str">
            <v>Q4 2019</v>
          </cell>
          <cell r="D2" t="str">
            <v>Q1 2020</v>
          </cell>
          <cell r="E2" t="str">
            <v>Q2 2020</v>
          </cell>
          <cell r="F2" t="str">
            <v>Q3 2020</v>
          </cell>
          <cell r="G2" t="str">
            <v>Q4 2020</v>
          </cell>
          <cell r="H2" t="str">
            <v>Q 2021</v>
          </cell>
        </row>
        <row r="3">
          <cell r="A3" t="str">
            <v>formal</v>
          </cell>
          <cell r="B3" t="str">
            <v>managers/profes-
sionals/technicians</v>
          </cell>
          <cell r="C3">
            <v>3.5264444316965395</v>
          </cell>
          <cell r="D3">
            <v>3.5140960208338048</v>
          </cell>
          <cell r="E3">
            <v>3.4258509970528586</v>
          </cell>
          <cell r="F3">
            <v>3.480943060815501</v>
          </cell>
          <cell r="G3">
            <v>3.4383045318890799</v>
          </cell>
          <cell r="H3">
            <v>3.5411649999999999</v>
          </cell>
        </row>
        <row r="4">
          <cell r="B4" t="str">
            <v>clerical/service
 workers</v>
          </cell>
          <cell r="C4">
            <v>3.7498281360025212</v>
          </cell>
          <cell r="D4">
            <v>3.671641094993622</v>
          </cell>
          <cell r="E4">
            <v>3.2566949879580527</v>
          </cell>
          <cell r="F4">
            <v>3.3083796288289964</v>
          </cell>
          <cell r="G4">
            <v>3.4388816353665987</v>
          </cell>
          <cell r="H4">
            <v>3.4382320000000002</v>
          </cell>
        </row>
        <row r="5">
          <cell r="B5" t="str">
            <v>skilled produc-
tion workers</v>
          </cell>
          <cell r="C5">
            <v>2.3440946060938015</v>
          </cell>
          <cell r="D5">
            <v>2.3665009470187321</v>
          </cell>
          <cell r="E5">
            <v>1.9555468010971662</v>
          </cell>
          <cell r="F5">
            <v>1.9768976485563716</v>
          </cell>
          <cell r="G5">
            <v>2.0681316652927881</v>
          </cell>
          <cell r="H5">
            <v>2.0616859999999999</v>
          </cell>
        </row>
        <row r="6">
          <cell r="B6" t="str">
            <v>elementary
 workers</v>
          </cell>
          <cell r="C6">
            <v>2.5978070569286449</v>
          </cell>
          <cell r="D6">
            <v>2.5974031089185154</v>
          </cell>
          <cell r="E6">
            <v>2.1862436526289373</v>
          </cell>
          <cell r="F6">
            <v>2.3018276711450678</v>
          </cell>
          <cell r="G6">
            <v>2.2851782684886408</v>
          </cell>
          <cell r="H6">
            <v>2.251115</v>
          </cell>
        </row>
        <row r="7">
          <cell r="A7" t="str">
            <v>informal</v>
          </cell>
          <cell r="B7" t="str">
            <v>total</v>
          </cell>
          <cell r="C7">
            <v>2.9180505590150938</v>
          </cell>
          <cell r="D7">
            <v>2.9206013235921175</v>
          </cell>
          <cell r="E7">
            <v>2.2802870018557191</v>
          </cell>
          <cell r="F7">
            <v>2.4561481963991998</v>
          </cell>
          <cell r="G7">
            <v>2.5211390249229217</v>
          </cell>
          <cell r="H7">
            <v>2.6905060000000001</v>
          </cell>
        </row>
        <row r="8">
          <cell r="A8" t="str">
            <v>domestic</v>
          </cell>
          <cell r="B8" t="str">
            <v>total</v>
          </cell>
          <cell r="C8">
            <v>1.285889042848454</v>
          </cell>
          <cell r="D8">
            <v>1.3157276169352805</v>
          </cell>
          <cell r="E8">
            <v>1.0051591300473217</v>
          </cell>
          <cell r="F8">
            <v>1.1207013689986063</v>
          </cell>
          <cell r="G8">
            <v>1.19673177879693</v>
          </cell>
          <cell r="H8">
            <v>1.1490670000000001</v>
          </cell>
        </row>
      </sheetData>
      <sheetData sheetId="3">
        <row r="3">
          <cell r="B3" t="str">
            <v>Q1 2020</v>
          </cell>
          <cell r="C3" t="str">
            <v>Q2 2020</v>
          </cell>
          <cell r="D3" t="str">
            <v>Q3 2020</v>
          </cell>
          <cell r="E3" t="str">
            <v>Q4 2020</v>
          </cell>
        </row>
        <row r="4">
          <cell r="A4" t="str">
            <v>Food, beverages, 
and tobacco</v>
          </cell>
          <cell r="B4">
            <v>370.75400000000002</v>
          </cell>
          <cell r="C4">
            <v>344.476</v>
          </cell>
          <cell r="D4">
            <v>357.40499999999997</v>
          </cell>
          <cell r="E4">
            <v>358.81742276894983</v>
          </cell>
          <cell r="F4">
            <v>354.67500000000001</v>
          </cell>
        </row>
        <row r="5">
          <cell r="A5" t="str">
            <v>Clothing, textiles 
and footwear</v>
          </cell>
          <cell r="B5">
            <v>245.76400000000001</v>
          </cell>
          <cell r="C5">
            <v>179.44300000000001</v>
          </cell>
          <cell r="D5">
            <v>196.91900000000001</v>
          </cell>
          <cell r="E5">
            <v>219.64426167574715</v>
          </cell>
          <cell r="F5">
            <v>213.49600000000001</v>
          </cell>
        </row>
        <row r="6">
          <cell r="A6" t="str">
            <v>Wood and paper</v>
          </cell>
          <cell r="B6">
            <v>101.66</v>
          </cell>
          <cell r="C6">
            <v>89.882000000000005</v>
          </cell>
          <cell r="D6">
            <v>87.384</v>
          </cell>
          <cell r="E6">
            <v>80.558616647539992</v>
          </cell>
          <cell r="F6">
            <v>87.5</v>
          </cell>
        </row>
        <row r="7">
          <cell r="A7" t="str">
            <v>Publishing 
and printing</v>
          </cell>
          <cell r="B7">
            <v>64.441999999999993</v>
          </cell>
          <cell r="C7">
            <v>42.625</v>
          </cell>
          <cell r="D7">
            <v>58.835000000000001</v>
          </cell>
          <cell r="E7">
            <v>48.17813297882001</v>
          </cell>
          <cell r="F7">
            <v>45.375999999999998</v>
          </cell>
        </row>
        <row r="8">
          <cell r="A8" t="str">
            <v>Petroleum, chemicals, 
rubber, and plastic</v>
          </cell>
          <cell r="B8">
            <v>243.64699999999999</v>
          </cell>
          <cell r="C8">
            <v>260.036</v>
          </cell>
          <cell r="D8">
            <v>199.60900000000001</v>
          </cell>
          <cell r="E8">
            <v>235.366463012135</v>
          </cell>
          <cell r="F8">
            <v>210.51599999999999</v>
          </cell>
        </row>
        <row r="9">
          <cell r="A9" t="str">
            <v>Glass and non-
metallic minerals</v>
          </cell>
          <cell r="B9">
            <v>122.78700000000001</v>
          </cell>
          <cell r="C9">
            <v>81.716999999999999</v>
          </cell>
          <cell r="D9">
            <v>102.011</v>
          </cell>
          <cell r="E9">
            <v>75.353441659809974</v>
          </cell>
          <cell r="F9">
            <v>92.224000000000004</v>
          </cell>
        </row>
        <row r="10">
          <cell r="A10" t="str">
            <v>Metals and 
metal products</v>
          </cell>
          <cell r="B10">
            <v>238.96700000000001</v>
          </cell>
          <cell r="C10">
            <v>176.745</v>
          </cell>
          <cell r="D10">
            <v>184.14599999999999</v>
          </cell>
          <cell r="E10">
            <v>205.55878200124994</v>
          </cell>
          <cell r="F10">
            <v>205.43199999999999</v>
          </cell>
        </row>
        <row r="11">
          <cell r="A11" t="str">
            <v>Machinery, equipment
 and appliances</v>
          </cell>
          <cell r="B11">
            <v>117.821</v>
          </cell>
          <cell r="C11">
            <v>128.23500000000001</v>
          </cell>
          <cell r="D11">
            <v>111.292</v>
          </cell>
          <cell r="E11">
            <v>122.56274671994002</v>
          </cell>
          <cell r="F11">
            <v>121.80500000000001</v>
          </cell>
        </row>
        <row r="12">
          <cell r="A12" t="str">
            <v>Transport 
equipment</v>
          </cell>
          <cell r="B12">
            <v>101.18899999999999</v>
          </cell>
          <cell r="C12">
            <v>87.444000000000003</v>
          </cell>
          <cell r="D12">
            <v>87.113</v>
          </cell>
          <cell r="E12">
            <v>82.208356691140011</v>
          </cell>
          <cell r="F12">
            <v>81.587000000000003</v>
          </cell>
        </row>
        <row r="13">
          <cell r="A13" t="str">
            <v>Furniture, 
and other</v>
          </cell>
          <cell r="B13">
            <v>77.573999999999998</v>
          </cell>
          <cell r="C13">
            <v>52.08</v>
          </cell>
          <cell r="D13">
            <v>55.304000000000002</v>
          </cell>
          <cell r="E13">
            <v>85.724552013100009</v>
          </cell>
          <cell r="F13">
            <v>64.867999999999995</v>
          </cell>
        </row>
      </sheetData>
      <sheetData sheetId="4">
        <row r="3">
          <cell r="B3" t="str">
            <v>Employed</v>
          </cell>
        </row>
        <row r="4">
          <cell r="A4">
            <v>2010</v>
          </cell>
          <cell r="B4">
            <v>491000</v>
          </cell>
        </row>
        <row r="5">
          <cell r="B5">
            <v>497000</v>
          </cell>
        </row>
        <row r="6">
          <cell r="B6">
            <v>505000</v>
          </cell>
        </row>
        <row r="7">
          <cell r="B7">
            <v>504000</v>
          </cell>
        </row>
        <row r="8">
          <cell r="A8">
            <v>2011</v>
          </cell>
          <cell r="B8">
            <v>511000</v>
          </cell>
        </row>
        <row r="9">
          <cell r="B9">
            <v>517000</v>
          </cell>
        </row>
        <row r="10">
          <cell r="B10">
            <v>519000</v>
          </cell>
        </row>
        <row r="11">
          <cell r="B11">
            <v>518000</v>
          </cell>
        </row>
        <row r="12">
          <cell r="A12">
            <v>2012</v>
          </cell>
          <cell r="B12">
            <v>523000</v>
          </cell>
        </row>
        <row r="13">
          <cell r="B13">
            <v>534000</v>
          </cell>
        </row>
        <row r="14">
          <cell r="B14">
            <v>518000</v>
          </cell>
        </row>
        <row r="15">
          <cell r="B15">
            <v>515000</v>
          </cell>
        </row>
        <row r="16">
          <cell r="A16">
            <v>2013</v>
          </cell>
          <cell r="B16">
            <v>515000</v>
          </cell>
        </row>
        <row r="17">
          <cell r="B17">
            <v>511000</v>
          </cell>
        </row>
        <row r="18">
          <cell r="B18">
            <v>507000</v>
          </cell>
        </row>
        <row r="19">
          <cell r="B19">
            <v>499000</v>
          </cell>
        </row>
        <row r="20">
          <cell r="A20">
            <v>2014</v>
          </cell>
          <cell r="B20">
            <v>491000</v>
          </cell>
        </row>
        <row r="21">
          <cell r="B21">
            <v>491000</v>
          </cell>
        </row>
        <row r="22">
          <cell r="B22">
            <v>498000</v>
          </cell>
        </row>
        <row r="23">
          <cell r="B23">
            <v>491000</v>
          </cell>
        </row>
        <row r="24">
          <cell r="A24">
            <v>2015</v>
          </cell>
          <cell r="B24">
            <v>490000</v>
          </cell>
        </row>
        <row r="25">
          <cell r="B25">
            <v>489000</v>
          </cell>
        </row>
        <row r="26">
          <cell r="B26">
            <v>476000</v>
          </cell>
        </row>
        <row r="27">
          <cell r="B27">
            <v>459000</v>
          </cell>
        </row>
        <row r="28">
          <cell r="A28">
            <v>2016</v>
          </cell>
          <cell r="B28">
            <v>458000</v>
          </cell>
        </row>
        <row r="29">
          <cell r="B29">
            <v>458000</v>
          </cell>
        </row>
        <row r="30">
          <cell r="B30">
            <v>458000</v>
          </cell>
        </row>
        <row r="31">
          <cell r="B31">
            <v>456000</v>
          </cell>
        </row>
        <row r="32">
          <cell r="A32">
            <v>2017</v>
          </cell>
          <cell r="B32">
            <v>464000</v>
          </cell>
        </row>
        <row r="33">
          <cell r="B33">
            <v>471000</v>
          </cell>
        </row>
        <row r="34">
          <cell r="B34">
            <v>460000</v>
          </cell>
        </row>
        <row r="35">
          <cell r="B35">
            <v>457000</v>
          </cell>
        </row>
        <row r="36">
          <cell r="A36">
            <v>2018</v>
          </cell>
          <cell r="B36">
            <v>454000</v>
          </cell>
        </row>
        <row r="37">
          <cell r="B37">
            <v>459000</v>
          </cell>
        </row>
        <row r="38">
          <cell r="B38">
            <v>456000</v>
          </cell>
        </row>
        <row r="39">
          <cell r="B39">
            <v>453000</v>
          </cell>
        </row>
        <row r="40">
          <cell r="A40">
            <v>2019</v>
          </cell>
          <cell r="B40">
            <v>455000</v>
          </cell>
        </row>
        <row r="41">
          <cell r="B41">
            <v>462000</v>
          </cell>
        </row>
        <row r="42">
          <cell r="B42">
            <v>463000</v>
          </cell>
        </row>
        <row r="43">
          <cell r="B43">
            <v>452000</v>
          </cell>
        </row>
        <row r="44">
          <cell r="A44">
            <v>2020</v>
          </cell>
          <cell r="B44">
            <v>456000</v>
          </cell>
        </row>
        <row r="45">
          <cell r="B45">
            <v>452000</v>
          </cell>
        </row>
        <row r="46">
          <cell r="B46">
            <v>453000</v>
          </cell>
        </row>
        <row r="47">
          <cell r="B47">
            <v>452000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Exports, imports, BOT"/>
      <sheetName val="12_14 imports exports by sector"/>
      <sheetName val="Table 1. Trade by mfg subsector"/>
    </sheetNames>
    <sheetDataSet>
      <sheetData sheetId="0">
        <row r="3">
          <cell r="K3" t="str">
            <v>Exports</v>
          </cell>
          <cell r="L3" t="str">
            <v>Imports</v>
          </cell>
          <cell r="M3" t="str">
            <v>Balance</v>
          </cell>
          <cell r="Q3" t="str">
            <v>Exports</v>
          </cell>
          <cell r="R3" t="str">
            <v>Imports</v>
          </cell>
          <cell r="S3" t="str">
            <v>Balance</v>
          </cell>
        </row>
        <row r="4">
          <cell r="I4">
            <v>2010</v>
          </cell>
          <cell r="J4" t="str">
            <v>Q1</v>
          </cell>
          <cell r="K4">
            <v>218.93289494489701</v>
          </cell>
          <cell r="L4">
            <v>233.34732125059898</v>
          </cell>
          <cell r="M4">
            <v>-14.414426305701966</v>
          </cell>
          <cell r="O4">
            <v>2010</v>
          </cell>
          <cell r="P4" t="str">
            <v>Q1</v>
          </cell>
          <cell r="Q4">
            <v>17.368493243243243</v>
          </cell>
          <cell r="R4">
            <v>18.512025675675677</v>
          </cell>
          <cell r="S4">
            <v>-1.1435324324324334</v>
          </cell>
        </row>
        <row r="5">
          <cell r="J5" t="str">
            <v>Q2</v>
          </cell>
          <cell r="K5">
            <v>247.86364356905554</v>
          </cell>
          <cell r="L5">
            <v>242.06428618889419</v>
          </cell>
          <cell r="M5">
            <v>5.7993573801613536</v>
          </cell>
          <cell r="P5" t="str">
            <v>Q2</v>
          </cell>
          <cell r="Q5">
            <v>19.329657894736844</v>
          </cell>
          <cell r="R5">
            <v>18.87739473684211</v>
          </cell>
          <cell r="S5">
            <v>0.45226315789473404</v>
          </cell>
        </row>
        <row r="6">
          <cell r="J6" t="str">
            <v>Q3</v>
          </cell>
          <cell r="K6">
            <v>263.93699152542371</v>
          </cell>
          <cell r="L6">
            <v>262.31046186440682</v>
          </cell>
          <cell r="M6">
            <v>1.6265296610168889</v>
          </cell>
          <cell r="P6" t="str">
            <v>Q3</v>
          </cell>
          <cell r="Q6">
            <v>22.210422535211269</v>
          </cell>
          <cell r="R6">
            <v>22.073549295774651</v>
          </cell>
          <cell r="S6">
            <v>0.13687323943661767</v>
          </cell>
        </row>
        <row r="7">
          <cell r="J7" t="str">
            <v>Q4</v>
          </cell>
          <cell r="K7">
            <v>273.18783333333329</v>
          </cell>
          <cell r="L7">
            <v>247.32249999999993</v>
          </cell>
          <cell r="M7">
            <v>25.865333333333353</v>
          </cell>
          <cell r="P7" t="str">
            <v>Q4</v>
          </cell>
          <cell r="Q7">
            <v>24.104808823529414</v>
          </cell>
          <cell r="R7">
            <v>21.822573529411763</v>
          </cell>
          <cell r="S7">
            <v>2.2822352941176511</v>
          </cell>
        </row>
        <row r="8">
          <cell r="I8">
            <v>2011</v>
          </cell>
          <cell r="J8" t="str">
            <v>Q1</v>
          </cell>
          <cell r="K8">
            <v>258.18117713625867</v>
          </cell>
          <cell r="L8">
            <v>265.25160415704386</v>
          </cell>
          <cell r="M8">
            <v>-7.0704270207851891</v>
          </cell>
          <cell r="O8">
            <v>2011</v>
          </cell>
          <cell r="P8" t="str">
            <v>Q1</v>
          </cell>
          <cell r="Q8">
            <v>22.787347826086958</v>
          </cell>
          <cell r="R8">
            <v>23.411391304347827</v>
          </cell>
          <cell r="S8">
            <v>-0.62404347826086948</v>
          </cell>
        </row>
        <row r="9">
          <cell r="J9" t="str">
            <v>Q2</v>
          </cell>
          <cell r="K9">
            <v>271.72195102040814</v>
          </cell>
          <cell r="L9">
            <v>269.47544897959187</v>
          </cell>
          <cell r="M9">
            <v>2.2465020408162673</v>
          </cell>
          <cell r="P9" t="str">
            <v>Q2</v>
          </cell>
          <cell r="Q9">
            <v>24.784764705882353</v>
          </cell>
          <cell r="R9">
            <v>24.579852941176473</v>
          </cell>
          <cell r="S9">
            <v>0.20491176470588002</v>
          </cell>
        </row>
        <row r="10">
          <cell r="J10" t="str">
            <v>Q3</v>
          </cell>
          <cell r="K10">
            <v>294.16521505136217</v>
          </cell>
          <cell r="L10">
            <v>302.30376753014735</v>
          </cell>
          <cell r="M10">
            <v>-8.1385524787851864</v>
          </cell>
          <cell r="P10" t="str">
            <v>Q3</v>
          </cell>
          <cell r="Q10">
            <v>24.702706666666664</v>
          </cell>
          <cell r="R10">
            <v>25.386146666666665</v>
          </cell>
          <cell r="S10">
            <v>-0.68344000000000094</v>
          </cell>
        </row>
        <row r="11">
          <cell r="J11" t="str">
            <v>Q4</v>
          </cell>
          <cell r="K11">
            <v>302.20606310679608</v>
          </cell>
          <cell r="L11">
            <v>322.43175397175634</v>
          </cell>
          <cell r="M11">
            <v>-20.225690864960256</v>
          </cell>
          <cell r="P11" t="str">
            <v>Q4</v>
          </cell>
          <cell r="Q11">
            <v>23.49143902439025</v>
          </cell>
          <cell r="R11">
            <v>25.063646341463414</v>
          </cell>
          <cell r="S11">
            <v>-1.5722073170731647</v>
          </cell>
        </row>
        <row r="12">
          <cell r="I12">
            <v>2012</v>
          </cell>
          <cell r="J12" t="str">
            <v>Q1</v>
          </cell>
          <cell r="K12">
            <v>265.30536668116576</v>
          </cell>
          <cell r="L12">
            <v>306.27554327968687</v>
          </cell>
          <cell r="M12">
            <v>-40.970176598521107</v>
          </cell>
          <cell r="O12">
            <v>2012</v>
          </cell>
          <cell r="P12" t="str">
            <v>Q1</v>
          </cell>
          <cell r="Q12">
            <v>22.575210526315793</v>
          </cell>
          <cell r="R12">
            <v>26.061421052631584</v>
          </cell>
          <cell r="S12">
            <v>-3.4862105263157908</v>
          </cell>
        </row>
        <row r="13">
          <cell r="J13" t="str">
            <v>Q2</v>
          </cell>
          <cell r="K13">
            <v>269.0502898457583</v>
          </cell>
          <cell r="L13">
            <v>306.41038496143955</v>
          </cell>
          <cell r="M13">
            <v>-37.360095115681247</v>
          </cell>
          <cell r="P13" t="str">
            <v>Q2</v>
          </cell>
          <cell r="Q13">
            <v>21.028845238095233</v>
          </cell>
          <cell r="R13">
            <v>23.948892857142855</v>
          </cell>
          <cell r="S13">
            <v>-2.9200476190476223</v>
          </cell>
        </row>
        <row r="14">
          <cell r="J14" t="str">
            <v>Q3</v>
          </cell>
          <cell r="K14">
            <v>274.1745821656051</v>
          </cell>
          <cell r="L14">
            <v>323.4950369426752</v>
          </cell>
          <cell r="M14">
            <v>-49.320454777070097</v>
          </cell>
          <cell r="P14" t="str">
            <v>Q3</v>
          </cell>
          <cell r="Q14">
            <v>21.882674698795181</v>
          </cell>
          <cell r="R14">
            <v>25.819084337349398</v>
          </cell>
          <cell r="S14">
            <v>-3.9364096385542169</v>
          </cell>
        </row>
        <row r="15">
          <cell r="J15" t="str">
            <v>Q4</v>
          </cell>
          <cell r="K15">
            <v>277.07566096033406</v>
          </cell>
          <cell r="L15">
            <v>325.07246555323593</v>
          </cell>
          <cell r="M15">
            <v>-47.996804592901867</v>
          </cell>
          <cell r="P15" t="str">
            <v>Q4</v>
          </cell>
          <cell r="Q15">
            <v>21.705302325581396</v>
          </cell>
          <cell r="R15">
            <v>25.465232558139537</v>
          </cell>
          <cell r="S15">
            <v>-3.7599302325581405</v>
          </cell>
        </row>
        <row r="16">
          <cell r="I16">
            <v>2013</v>
          </cell>
          <cell r="J16" t="str">
            <v>Q1</v>
          </cell>
          <cell r="K16">
            <v>261.45235080147967</v>
          </cell>
          <cell r="L16">
            <v>323.63869605425396</v>
          </cell>
          <cell r="M16">
            <v>-62.186345252774288</v>
          </cell>
          <cell r="O16">
            <v>2013</v>
          </cell>
          <cell r="P16" t="str">
            <v>Q1</v>
          </cell>
          <cell r="Q16">
            <v>19.449445652173917</v>
          </cell>
          <cell r="R16">
            <v>24.075489130434782</v>
          </cell>
          <cell r="S16">
            <v>-4.6260434782608648</v>
          </cell>
        </row>
        <row r="17">
          <cell r="J17" t="str">
            <v>Q2</v>
          </cell>
          <cell r="K17">
            <v>289.32839817444216</v>
          </cell>
          <cell r="L17">
            <v>339.98750872210951</v>
          </cell>
          <cell r="M17">
            <v>-50.659110547667353</v>
          </cell>
          <cell r="P17" t="str">
            <v>Q2</v>
          </cell>
          <cell r="Q17">
            <v>20.061730000000001</v>
          </cell>
          <cell r="R17">
            <v>23.574379999999998</v>
          </cell>
          <cell r="S17">
            <v>-3.5126499999999972</v>
          </cell>
        </row>
        <row r="18">
          <cell r="J18" t="str">
            <v>Q3</v>
          </cell>
          <cell r="K18">
            <v>316.91397602876538</v>
          </cell>
          <cell r="L18">
            <v>379.95166779864167</v>
          </cell>
          <cell r="M18">
            <v>-63.03769176987629</v>
          </cell>
          <cell r="P18" t="str">
            <v>Q3</v>
          </cell>
          <cell r="Q18">
            <v>22.313239999999997</v>
          </cell>
          <cell r="R18">
            <v>26.751590000000004</v>
          </cell>
          <cell r="S18">
            <v>-4.4383500000000069</v>
          </cell>
        </row>
        <row r="19">
          <cell r="J19" t="str">
            <v>Q4</v>
          </cell>
          <cell r="K19">
            <v>346.96715491283675</v>
          </cell>
          <cell r="L19">
            <v>358.99556220285262</v>
          </cell>
          <cell r="M19">
            <v>-12.028407290015878</v>
          </cell>
          <cell r="P19" t="str">
            <v>Q4</v>
          </cell>
          <cell r="Q19">
            <v>23.686711538461534</v>
          </cell>
          <cell r="R19">
            <v>24.507865384615382</v>
          </cell>
          <cell r="S19">
            <v>-0.82115384615384812</v>
          </cell>
        </row>
        <row r="20">
          <cell r="I20">
            <v>2014</v>
          </cell>
          <cell r="J20" t="str">
            <v>Q1</v>
          </cell>
          <cell r="K20">
            <v>331.26638198757757</v>
          </cell>
          <cell r="L20">
            <v>370.13663606366464</v>
          </cell>
          <cell r="M20">
            <v>-38.870254076087065</v>
          </cell>
          <cell r="O20">
            <v>2014</v>
          </cell>
          <cell r="P20" t="str">
            <v>Q1</v>
          </cell>
          <cell r="Q20">
            <v>22.433644859813082</v>
          </cell>
          <cell r="R20">
            <v>25.065971962616828</v>
          </cell>
          <cell r="S20">
            <v>-2.632327102803746</v>
          </cell>
        </row>
        <row r="21">
          <cell r="J21" t="str">
            <v>Q2</v>
          </cell>
          <cell r="K21">
            <v>318.25122945205487</v>
          </cell>
          <cell r="L21">
            <v>345.71766267123297</v>
          </cell>
          <cell r="M21">
            <v>-27.4664332191781</v>
          </cell>
          <cell r="P21" t="str">
            <v>Q2</v>
          </cell>
          <cell r="Q21">
            <v>21.987308411214958</v>
          </cell>
          <cell r="R21">
            <v>23.884906542056076</v>
          </cell>
          <cell r="S21">
            <v>-1.8975981308411178</v>
          </cell>
        </row>
        <row r="22">
          <cell r="J22" t="str">
            <v>Q3</v>
          </cell>
          <cell r="K22">
            <v>326.72706930879042</v>
          </cell>
          <cell r="L22">
            <v>373.20755916604054</v>
          </cell>
          <cell r="M22">
            <v>-46.48048985725012</v>
          </cell>
          <cell r="P22" t="str">
            <v>Q3</v>
          </cell>
          <cell r="Q22">
            <v>22.241336363636368</v>
          </cell>
          <cell r="R22">
            <v>25.405409090909089</v>
          </cell>
          <cell r="S22">
            <v>-3.1640727272727212</v>
          </cell>
        </row>
        <row r="23">
          <cell r="J23" t="str">
            <v>Q4</v>
          </cell>
          <cell r="K23">
            <v>346.73175505996994</v>
          </cell>
          <cell r="L23">
            <v>373.69525749625177</v>
          </cell>
          <cell r="M23">
            <v>-26.963502436281829</v>
          </cell>
          <cell r="P23" t="str">
            <v>Q4</v>
          </cell>
          <cell r="Q23">
            <v>22.62778260869565</v>
          </cell>
          <cell r="R23">
            <v>24.387426086956516</v>
          </cell>
          <cell r="S23">
            <v>-1.7596434782608661</v>
          </cell>
        </row>
        <row r="24">
          <cell r="I24">
            <v>2015</v>
          </cell>
          <cell r="J24" t="str">
            <v>Q1</v>
          </cell>
          <cell r="K24">
            <v>310.60978055141584</v>
          </cell>
          <cell r="L24">
            <v>354.25575000000015</v>
          </cell>
          <cell r="M24">
            <v>-43.64596944858431</v>
          </cell>
          <cell r="O24">
            <v>2015</v>
          </cell>
          <cell r="P24" t="str">
            <v>Q1</v>
          </cell>
          <cell r="Q24">
            <v>19.380842975206612</v>
          </cell>
          <cell r="R24">
            <v>22.104181818181825</v>
          </cell>
          <cell r="S24">
            <v>-2.7233388429752132</v>
          </cell>
        </row>
        <row r="25">
          <cell r="J25" t="str">
            <v>Q2</v>
          </cell>
          <cell r="K25">
            <v>341.4797583758193</v>
          </cell>
          <cell r="L25">
            <v>329.85402804078655</v>
          </cell>
          <cell r="M25">
            <v>11.625730335032756</v>
          </cell>
          <cell r="P25" t="str">
            <v>Q2</v>
          </cell>
          <cell r="Q25">
            <v>21.44473983739837</v>
          </cell>
          <cell r="R25">
            <v>20.714650406504063</v>
          </cell>
          <cell r="S25">
            <v>0.73008943089430645</v>
          </cell>
        </row>
        <row r="26">
          <cell r="J26" t="str">
            <v>Q3</v>
          </cell>
          <cell r="K26">
            <v>348.46293945382678</v>
          </cell>
          <cell r="L26">
            <v>363.96442561983463</v>
          </cell>
          <cell r="M26">
            <v>-15.501486166007851</v>
          </cell>
          <cell r="P26" t="str">
            <v>Q3</v>
          </cell>
          <cell r="Q26">
            <v>20.058169117647058</v>
          </cell>
          <cell r="R26">
            <v>20.950463235294116</v>
          </cell>
          <cell r="S26">
            <v>-0.89229411764705802</v>
          </cell>
        </row>
        <row r="27">
          <cell r="J27" t="str">
            <v>Q4</v>
          </cell>
          <cell r="K27">
            <v>340.92615289699569</v>
          </cell>
          <cell r="L27">
            <v>357.06834495708154</v>
          </cell>
          <cell r="M27">
            <v>-16.142192060085847</v>
          </cell>
          <cell r="P27" t="str">
            <v>Q4</v>
          </cell>
          <cell r="Q27">
            <v>17.757463576158941</v>
          </cell>
          <cell r="R27">
            <v>18.598245033112583</v>
          </cell>
          <cell r="S27">
            <v>-0.8407814569536427</v>
          </cell>
        </row>
        <row r="28">
          <cell r="I28">
            <v>2016</v>
          </cell>
          <cell r="J28" t="str">
            <v>Q1</v>
          </cell>
          <cell r="K28">
            <v>320.69530699300697</v>
          </cell>
          <cell r="L28">
            <v>340.97521468531465</v>
          </cell>
          <cell r="M28">
            <v>-20.279907692307688</v>
          </cell>
          <cell r="O28">
            <v>2016</v>
          </cell>
          <cell r="P28" t="str">
            <v>Q1</v>
          </cell>
          <cell r="Q28">
            <v>16.753220779220779</v>
          </cell>
          <cell r="R28">
            <v>17.812649350649348</v>
          </cell>
          <cell r="S28">
            <v>-1.0594285714285689</v>
          </cell>
        </row>
        <row r="29">
          <cell r="J29" t="str">
            <v>Q2</v>
          </cell>
          <cell r="K29">
            <v>366.55015538461538</v>
          </cell>
          <cell r="L29">
            <v>329.15483692307697</v>
          </cell>
          <cell r="M29">
            <v>37.395318461538409</v>
          </cell>
          <cell r="P29" t="str">
            <v>Q2</v>
          </cell>
          <cell r="Q29">
            <v>19.972973509933777</v>
          </cell>
          <cell r="R29">
            <v>17.935337748344374</v>
          </cell>
          <cell r="S29">
            <v>2.037635761589403</v>
          </cell>
        </row>
        <row r="30">
          <cell r="J30" t="str">
            <v>Q3</v>
          </cell>
          <cell r="K30">
            <v>342.02653799392095</v>
          </cell>
          <cell r="L30">
            <v>337.93006382978729</v>
          </cell>
          <cell r="M30">
            <v>4.0964741641336673</v>
          </cell>
          <cell r="P30" t="str">
            <v>Q3</v>
          </cell>
          <cell r="Q30">
            <v>20.348414285714284</v>
          </cell>
          <cell r="R30">
            <v>20.104700000000005</v>
          </cell>
          <cell r="S30">
            <v>0.24371428571427955</v>
          </cell>
        </row>
        <row r="31">
          <cell r="J31" t="str">
            <v>Q4</v>
          </cell>
          <cell r="K31">
            <v>333.50740699230511</v>
          </cell>
          <cell r="L31">
            <v>325.84863583138173</v>
          </cell>
          <cell r="M31">
            <v>7.6587711609233793</v>
          </cell>
          <cell r="P31" t="str">
            <v>Q4</v>
          </cell>
          <cell r="Q31">
            <v>20.173302158273376</v>
          </cell>
          <cell r="R31">
            <v>19.710035971223022</v>
          </cell>
          <cell r="S31">
            <v>0.46326618705035472</v>
          </cell>
        </row>
        <row r="32">
          <cell r="I32">
            <v>2017</v>
          </cell>
          <cell r="J32" t="str">
            <v>Q1</v>
          </cell>
          <cell r="K32">
            <v>313.72799113300499</v>
          </cell>
          <cell r="L32">
            <v>307.88144630541859</v>
          </cell>
          <cell r="M32">
            <v>5.8465448275863992</v>
          </cell>
          <cell r="O32">
            <v>2017</v>
          </cell>
          <cell r="P32" t="str">
            <v>Q1</v>
          </cell>
          <cell r="Q32">
            <v>20.308081800456463</v>
          </cell>
          <cell r="R32">
            <v>19.929626214839551</v>
          </cell>
          <cell r="S32">
            <v>0.37845558561691206</v>
          </cell>
        </row>
        <row r="33">
          <cell r="J33" t="str">
            <v>Q2</v>
          </cell>
          <cell r="K33">
            <v>344.0344324675325</v>
          </cell>
          <cell r="L33">
            <v>315.14844155844156</v>
          </cell>
          <cell r="M33">
            <v>28.885990909090935</v>
          </cell>
          <cell r="P33" t="str">
            <v>Q2</v>
          </cell>
          <cell r="Q33">
            <v>22.563238687444304</v>
          </cell>
          <cell r="R33">
            <v>20.668772767476618</v>
          </cell>
          <cell r="S33">
            <v>1.8944659199676863</v>
          </cell>
        </row>
        <row r="34">
          <cell r="J34" t="str">
            <v>Q3</v>
          </cell>
          <cell r="K34">
            <v>342.19366822429907</v>
          </cell>
          <cell r="L34">
            <v>319.5226667740896</v>
          </cell>
          <cell r="M34">
            <v>22.671001450209474</v>
          </cell>
          <cell r="P34" t="str">
            <v>Q3</v>
          </cell>
          <cell r="Q34">
            <v>22.683079641447677</v>
          </cell>
          <cell r="R34">
            <v>21.18028114106923</v>
          </cell>
          <cell r="S34">
            <v>1.5027985003784465</v>
          </cell>
        </row>
        <row r="35">
          <cell r="J35" t="str">
            <v>Q4</v>
          </cell>
          <cell r="K35">
            <v>368.76639680511187</v>
          </cell>
          <cell r="L35">
            <v>331.15358817891376</v>
          </cell>
          <cell r="M35">
            <v>37.612808626198103</v>
          </cell>
          <cell r="P35" t="str">
            <v>Q4</v>
          </cell>
          <cell r="Q35">
            <v>23.801163617526107</v>
          </cell>
          <cell r="R35">
            <v>21.373532954909216</v>
          </cell>
          <cell r="S35">
            <v>2.4276306626168918</v>
          </cell>
        </row>
        <row r="36">
          <cell r="I36">
            <v>2018</v>
          </cell>
          <cell r="J36" t="str">
            <v>Q1</v>
          </cell>
          <cell r="K36">
            <v>301.84506908517346</v>
          </cell>
          <cell r="L36">
            <v>322.31323391167194</v>
          </cell>
          <cell r="M36">
            <v>-20.46816482649848</v>
          </cell>
          <cell r="O36">
            <v>2018</v>
          </cell>
          <cell r="P36" t="str">
            <v>Q1</v>
          </cell>
          <cell r="Q36">
            <v>22.516149541153936</v>
          </cell>
          <cell r="R36">
            <v>24.042973422899642</v>
          </cell>
          <cell r="S36">
            <v>-1.526823881745706</v>
          </cell>
        </row>
        <row r="37">
          <cell r="J37" t="str">
            <v>Q2</v>
          </cell>
          <cell r="K37">
            <v>333.0543398073338</v>
          </cell>
          <cell r="L37">
            <v>314.26277330640153</v>
          </cell>
          <cell r="M37">
            <v>18.791566500932277</v>
          </cell>
          <cell r="P37" t="str">
            <v>Q2</v>
          </cell>
          <cell r="Q37">
            <v>23.870316706254947</v>
          </cell>
          <cell r="R37">
            <v>22.523507521773553</v>
          </cell>
          <cell r="S37">
            <v>1.3468091844813941</v>
          </cell>
        </row>
        <row r="38">
          <cell r="J38" t="str">
            <v>Q3</v>
          </cell>
          <cell r="K38">
            <v>368.05379834254143</v>
          </cell>
          <cell r="L38">
            <v>367.48312154696129</v>
          </cell>
          <cell r="M38">
            <v>0.57067679558014106</v>
          </cell>
          <cell r="P38" t="str">
            <v>Q3</v>
          </cell>
          <cell r="Q38">
            <v>23.931845271881031</v>
          </cell>
          <cell r="R38">
            <v>23.894738335792937</v>
          </cell>
          <cell r="S38">
            <v>3.7106936088093789E-2</v>
          </cell>
        </row>
        <row r="39">
          <cell r="J39" t="str">
            <v>Q4</v>
          </cell>
          <cell r="K39">
            <v>373.1792717258262</v>
          </cell>
          <cell r="L39">
            <v>355.59137698898411</v>
          </cell>
          <cell r="M39">
            <v>17.587894736842088</v>
          </cell>
          <cell r="P39" t="str">
            <v>Q4</v>
          </cell>
          <cell r="Q39">
            <v>24.05694249649369</v>
          </cell>
          <cell r="R39">
            <v>22.923141654978963</v>
          </cell>
          <cell r="S39">
            <v>1.1338008415147272</v>
          </cell>
        </row>
        <row r="40">
          <cell r="I40">
            <v>2019</v>
          </cell>
          <cell r="J40" t="str">
            <v>Q1</v>
          </cell>
          <cell r="K40">
            <v>314.41031335149859</v>
          </cell>
          <cell r="L40">
            <v>318.92536784741139</v>
          </cell>
          <cell r="M40">
            <v>-4.5150544959128069</v>
          </cell>
          <cell r="O40">
            <v>2019</v>
          </cell>
          <cell r="P40" t="str">
            <v>Q1</v>
          </cell>
          <cell r="Q40">
            <v>20.851034975017843</v>
          </cell>
          <cell r="R40">
            <v>21.150463954318344</v>
          </cell>
          <cell r="S40">
            <v>-0.29942897930050094</v>
          </cell>
        </row>
        <row r="41">
          <cell r="J41" t="str">
            <v>Q2</v>
          </cell>
          <cell r="K41">
            <v>343.358421600714</v>
          </cell>
          <cell r="L41">
            <v>339.43216155905975</v>
          </cell>
          <cell r="M41">
            <v>3.9262600416542455</v>
          </cell>
          <cell r="P41" t="str">
            <v>Q2</v>
          </cell>
          <cell r="Q41">
            <v>22.564017608897128</v>
          </cell>
          <cell r="R41">
            <v>22.306000926784062</v>
          </cell>
          <cell r="S41">
            <v>0.25801668211306605</v>
          </cell>
        </row>
        <row r="42">
          <cell r="J42" t="str">
            <v>Q3</v>
          </cell>
          <cell r="K42">
            <v>359.11053050397879</v>
          </cell>
          <cell r="L42">
            <v>352.84396551724143</v>
          </cell>
          <cell r="M42">
            <v>6.2665649867373645</v>
          </cell>
          <cell r="P42" t="str">
            <v>Q3</v>
          </cell>
          <cell r="Q42">
            <v>23.347820163487736</v>
          </cell>
          <cell r="R42">
            <v>22.940395095367847</v>
          </cell>
          <cell r="S42">
            <v>0.40742506811988832</v>
          </cell>
        </row>
        <row r="43">
          <cell r="J43" t="str">
            <v>Q4</v>
          </cell>
          <cell r="K43">
            <v>357.36358379806285</v>
          </cell>
          <cell r="L43">
            <v>333.11195186380985</v>
          </cell>
          <cell r="M43">
            <v>24.251631934252998</v>
          </cell>
          <cell r="P43" t="str">
            <v>Q4</v>
          </cell>
          <cell r="Q43">
            <v>23.266711956521739</v>
          </cell>
          <cell r="R43">
            <v>21.687771739130437</v>
          </cell>
          <cell r="S43">
            <v>1.5789402173913025</v>
          </cell>
        </row>
        <row r="44">
          <cell r="I44">
            <v>2020</v>
          </cell>
          <cell r="J44" t="str">
            <v>Q1</v>
          </cell>
          <cell r="K44">
            <v>338.59906204697018</v>
          </cell>
          <cell r="L44">
            <v>302.27807335459556</v>
          </cell>
          <cell r="M44">
            <v>36.320988692374613</v>
          </cell>
          <cell r="O44">
            <v>2020</v>
          </cell>
          <cell r="P44" t="str">
            <v>Q1</v>
          </cell>
          <cell r="Q44">
            <v>21.414797913950455</v>
          </cell>
          <cell r="R44">
            <v>19.11766623207301</v>
          </cell>
          <cell r="S44">
            <v>2.2971316818774454</v>
          </cell>
        </row>
        <row r="45">
          <cell r="J45" t="str">
            <v>Q2</v>
          </cell>
          <cell r="K45">
            <v>282.85385386403249</v>
          </cell>
          <cell r="L45">
            <v>251.48165020337009</v>
          </cell>
          <cell r="M45">
            <v>31.372203660662393</v>
          </cell>
          <cell r="P45" t="str">
            <v>Q2</v>
          </cell>
          <cell r="Q45">
            <v>15.25699164345404</v>
          </cell>
          <cell r="R45">
            <v>13.564791086350976</v>
          </cell>
          <cell r="S45">
            <v>1.6922005571030638</v>
          </cell>
        </row>
        <row r="46">
          <cell r="J46" t="str">
            <v>Q3</v>
          </cell>
          <cell r="K46">
            <v>394.21575900514574</v>
          </cell>
          <cell r="L46">
            <v>282.98734991423669</v>
          </cell>
          <cell r="M46">
            <v>111.22840909090905</v>
          </cell>
          <cell r="P46" t="str">
            <v>Q3</v>
          </cell>
          <cell r="Q46">
            <v>22.938793613246599</v>
          </cell>
          <cell r="R46">
            <v>16.466587817859253</v>
          </cell>
          <cell r="S46">
            <v>6.472205795387346</v>
          </cell>
        </row>
        <row r="47">
          <cell r="J47" t="str">
            <v>Q4</v>
          </cell>
          <cell r="K47">
            <v>416.74106970128025</v>
          </cell>
          <cell r="L47">
            <v>312.29587766714081</v>
          </cell>
          <cell r="M47">
            <v>104.44519203413944</v>
          </cell>
          <cell r="P47" t="str">
            <v>Q4</v>
          </cell>
          <cell r="Q47">
            <v>26.312388250319287</v>
          </cell>
          <cell r="R47">
            <v>19.71787994891443</v>
          </cell>
          <cell r="S47">
            <v>6.5945083014048578</v>
          </cell>
        </row>
        <row r="48">
          <cell r="I48">
            <v>2021</v>
          </cell>
          <cell r="J48" t="str">
            <v>Q1</v>
          </cell>
          <cell r="K48">
            <v>408.91500000000002</v>
          </cell>
          <cell r="L48">
            <v>312.50099999999998</v>
          </cell>
          <cell r="M48">
            <v>96.414000000000044</v>
          </cell>
          <cell r="O48">
            <v>2021</v>
          </cell>
          <cell r="P48" t="str">
            <v>Q1</v>
          </cell>
          <cell r="Q48">
            <v>27.333890374331549</v>
          </cell>
          <cell r="R48">
            <v>20.889104278074864</v>
          </cell>
          <cell r="S48">
            <v>6.444786096256685</v>
          </cell>
        </row>
      </sheetData>
      <sheetData sheetId="1">
        <row r="2">
          <cell r="C2" t="str">
            <v>Agriculture</v>
          </cell>
          <cell r="P2" t="str">
            <v>Mining</v>
          </cell>
          <cell r="AC2" t="str">
            <v>Manufacturing</v>
          </cell>
        </row>
        <row r="3">
          <cell r="C3">
            <v>2010</v>
          </cell>
          <cell r="D3">
            <v>2011</v>
          </cell>
          <cell r="E3">
            <v>2012</v>
          </cell>
          <cell r="F3">
            <v>2013</v>
          </cell>
          <cell r="G3">
            <v>2014</v>
          </cell>
          <cell r="H3">
            <v>2015</v>
          </cell>
          <cell r="I3">
            <v>2016</v>
          </cell>
          <cell r="J3">
            <v>2017</v>
          </cell>
          <cell r="K3">
            <v>2018</v>
          </cell>
          <cell r="L3">
            <v>2019</v>
          </cell>
          <cell r="M3">
            <v>2020</v>
          </cell>
          <cell r="N3">
            <v>2021</v>
          </cell>
          <cell r="P3">
            <v>2010</v>
          </cell>
          <cell r="Q3">
            <v>2011</v>
          </cell>
          <cell r="R3">
            <v>2012</v>
          </cell>
          <cell r="S3">
            <v>2013</v>
          </cell>
          <cell r="T3">
            <v>2014</v>
          </cell>
          <cell r="U3">
            <v>2015</v>
          </cell>
          <cell r="V3">
            <v>2016</v>
          </cell>
          <cell r="W3">
            <v>2017</v>
          </cell>
          <cell r="X3">
            <v>2018</v>
          </cell>
          <cell r="Y3">
            <v>2019</v>
          </cell>
          <cell r="Z3">
            <v>2020</v>
          </cell>
          <cell r="AA3">
            <v>2021</v>
          </cell>
          <cell r="AC3">
            <v>2010</v>
          </cell>
          <cell r="AD3">
            <v>2011</v>
          </cell>
          <cell r="AE3">
            <v>2012</v>
          </cell>
          <cell r="AF3">
            <v>2013</v>
          </cell>
          <cell r="AG3">
            <v>2014</v>
          </cell>
          <cell r="AH3">
            <v>2015</v>
          </cell>
          <cell r="AI3">
            <v>2016</v>
          </cell>
          <cell r="AJ3">
            <v>2017</v>
          </cell>
          <cell r="AK3">
            <v>2018</v>
          </cell>
          <cell r="AL3">
            <v>2019</v>
          </cell>
          <cell r="AM3">
            <v>2020</v>
          </cell>
          <cell r="AN3">
            <v>2021</v>
          </cell>
        </row>
        <row r="4">
          <cell r="B4" t="str">
            <v>constant rand</v>
          </cell>
          <cell r="C4">
            <v>10.303861739338766</v>
          </cell>
          <cell r="D4">
            <v>11.008184757505772</v>
          </cell>
          <cell r="E4">
            <v>11.251520878642889</v>
          </cell>
          <cell r="F4">
            <v>13.266885943279902</v>
          </cell>
          <cell r="G4">
            <v>18.368696040372669</v>
          </cell>
          <cell r="H4">
            <v>18.166526825633383</v>
          </cell>
          <cell r="I4">
            <v>21.586059440559442</v>
          </cell>
          <cell r="J4">
            <v>20.733530541871922</v>
          </cell>
          <cell r="K4">
            <v>18.375649211356468</v>
          </cell>
          <cell r="L4">
            <v>18.867008174386925</v>
          </cell>
          <cell r="M4">
            <v>22.739218904030157</v>
          </cell>
          <cell r="N4">
            <v>24.635399999999997</v>
          </cell>
          <cell r="P4">
            <v>99.351603737422167</v>
          </cell>
          <cell r="Q4">
            <v>125.10003949191685</v>
          </cell>
          <cell r="R4">
            <v>133.97494541104828</v>
          </cell>
          <cell r="S4">
            <v>128.90915104808877</v>
          </cell>
          <cell r="T4">
            <v>141.35347942546579</v>
          </cell>
          <cell r="U4">
            <v>120.37343908345754</v>
          </cell>
          <cell r="V4">
            <v>119.94607290209791</v>
          </cell>
          <cell r="W4">
            <v>131.46681871921183</v>
          </cell>
          <cell r="X4">
            <v>125.43071735015772</v>
          </cell>
          <cell r="Y4">
            <v>134.12467166212534</v>
          </cell>
          <cell r="Z4">
            <v>155.83361568570604</v>
          </cell>
          <cell r="AA4">
            <v>208.65700000000001</v>
          </cell>
          <cell r="AC4">
            <v>109.27742946813611</v>
          </cell>
          <cell r="AD4">
            <v>122.07295288683602</v>
          </cell>
          <cell r="AE4">
            <v>120.07890039147456</v>
          </cell>
          <cell r="AF4">
            <v>119.27631381011096</v>
          </cell>
          <cell r="AG4">
            <v>171.54420652173914</v>
          </cell>
          <cell r="AH4">
            <v>172.06981464232493</v>
          </cell>
          <cell r="AI4">
            <v>179.16317465034965</v>
          </cell>
          <cell r="AJ4">
            <v>161.52764187192113</v>
          </cell>
          <cell r="AK4">
            <v>158.03870252365928</v>
          </cell>
          <cell r="AL4">
            <v>161.08390599455038</v>
          </cell>
          <cell r="AM4">
            <v>159.64547448535808</v>
          </cell>
          <cell r="AN4">
            <v>175.62269999999998</v>
          </cell>
        </row>
        <row r="6">
          <cell r="C6" t="str">
            <v>Agriculture</v>
          </cell>
          <cell r="P6" t="str">
            <v>Mining</v>
          </cell>
          <cell r="AC6" t="str">
            <v>Manufacturing</v>
          </cell>
        </row>
        <row r="7">
          <cell r="C7">
            <v>2010</v>
          </cell>
          <cell r="D7">
            <v>2011</v>
          </cell>
          <cell r="E7">
            <v>2012</v>
          </cell>
          <cell r="F7">
            <v>2013</v>
          </cell>
          <cell r="G7">
            <v>2014</v>
          </cell>
          <cell r="H7">
            <v>2015</v>
          </cell>
          <cell r="I7">
            <v>2016</v>
          </cell>
          <cell r="J7">
            <v>2017</v>
          </cell>
          <cell r="K7">
            <v>2018</v>
          </cell>
          <cell r="L7">
            <v>2019</v>
          </cell>
          <cell r="M7">
            <v>2020</v>
          </cell>
          <cell r="N7">
            <v>2021</v>
          </cell>
          <cell r="P7">
            <v>2010</v>
          </cell>
          <cell r="Q7">
            <v>2011</v>
          </cell>
          <cell r="R7">
            <v>2012</v>
          </cell>
          <cell r="S7">
            <v>2013</v>
          </cell>
          <cell r="T7">
            <v>2014</v>
          </cell>
          <cell r="U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C7">
            <v>2010</v>
          </cell>
          <cell r="AD7">
            <v>2011</v>
          </cell>
          <cell r="AE7">
            <v>2012</v>
          </cell>
          <cell r="AF7">
            <v>2013</v>
          </cell>
          <cell r="AG7">
            <v>2014</v>
          </cell>
          <cell r="AH7">
            <v>2015</v>
          </cell>
          <cell r="AI7">
            <v>2016</v>
          </cell>
          <cell r="AJ7">
            <v>2017</v>
          </cell>
          <cell r="AK7">
            <v>2018</v>
          </cell>
          <cell r="AL7">
            <v>2019</v>
          </cell>
          <cell r="AM7">
            <v>2020</v>
          </cell>
          <cell r="AN7">
            <v>2021</v>
          </cell>
        </row>
        <row r="8">
          <cell r="B8" t="str">
            <v>USD</v>
          </cell>
          <cell r="C8">
            <v>0.80479159456381888</v>
          </cell>
          <cell r="D8">
            <v>0.9574418923756477</v>
          </cell>
          <cell r="E8">
            <v>0.93869316562685567</v>
          </cell>
          <cell r="F8">
            <v>1.0135745038537194</v>
          </cell>
          <cell r="G8">
            <v>1.2250780355933928</v>
          </cell>
          <cell r="H8">
            <v>1.1670442332551034</v>
          </cell>
          <cell r="I8">
            <v>1.0997582758606366</v>
          </cell>
          <cell r="J8">
            <v>1.3444455893573117</v>
          </cell>
          <cell r="K8">
            <v>1.3708170149394427</v>
          </cell>
          <cell r="L8">
            <v>1.2508587657865642</v>
          </cell>
          <cell r="M8">
            <v>1.4363000586195203</v>
          </cell>
          <cell r="N8">
            <v>1.6471605774382185</v>
          </cell>
          <cell r="P8">
            <v>7.773057080088309</v>
          </cell>
          <cell r="Q8">
            <v>10.888346247093207</v>
          </cell>
          <cell r="R8">
            <v>11.181143054980231</v>
          </cell>
          <cell r="S8">
            <v>9.8572189581452179</v>
          </cell>
          <cell r="T8">
            <v>9.4208474342899304</v>
          </cell>
          <cell r="U8">
            <v>7.7323819383716277</v>
          </cell>
          <cell r="V8">
            <v>6.1107384073830335</v>
          </cell>
          <cell r="W8">
            <v>8.5177015357671237</v>
          </cell>
          <cell r="X8">
            <v>9.3640226065974712</v>
          </cell>
          <cell r="Y8">
            <v>8.887764142387077</v>
          </cell>
          <cell r="Z8">
            <v>9.8758893251795339</v>
          </cell>
          <cell r="AA8">
            <v>13.955572378489331</v>
          </cell>
          <cell r="AC8">
            <v>8.5452818530198318</v>
          </cell>
          <cell r="AD8">
            <v>10.62227149928246</v>
          </cell>
          <cell r="AE8">
            <v>10.037995920750518</v>
          </cell>
          <cell r="AF8">
            <v>9.1121193875059774</v>
          </cell>
          <cell r="AG8">
            <v>11.439655068597791</v>
          </cell>
          <cell r="AH8">
            <v>11.04615006418123</v>
          </cell>
          <cell r="AI8">
            <v>9.1358345392774858</v>
          </cell>
          <cell r="AJ8">
            <v>10.490311109133925</v>
          </cell>
          <cell r="AK8">
            <v>11.808837417225998</v>
          </cell>
          <cell r="AL8">
            <v>10.672202760507046</v>
          </cell>
          <cell r="AM8">
            <v>10.07406166669176</v>
          </cell>
          <cell r="AN8">
            <v>11.750160145036553</v>
          </cell>
        </row>
        <row r="10">
          <cell r="C10" t="str">
            <v>Agriculture</v>
          </cell>
          <cell r="P10" t="str">
            <v>Mining</v>
          </cell>
          <cell r="AC10" t="str">
            <v>Manufacturing</v>
          </cell>
        </row>
        <row r="11">
          <cell r="C11">
            <v>2010</v>
          </cell>
          <cell r="D11">
            <v>2011</v>
          </cell>
          <cell r="E11">
            <v>2012</v>
          </cell>
          <cell r="F11">
            <v>2013</v>
          </cell>
          <cell r="G11">
            <v>2014</v>
          </cell>
          <cell r="H11">
            <v>2015</v>
          </cell>
          <cell r="I11">
            <v>2016</v>
          </cell>
          <cell r="J11">
            <v>2017</v>
          </cell>
          <cell r="K11">
            <v>2018</v>
          </cell>
          <cell r="L11">
            <v>2019</v>
          </cell>
          <cell r="M11">
            <v>2020</v>
          </cell>
          <cell r="N11">
            <v>2021</v>
          </cell>
          <cell r="P11">
            <v>2010</v>
          </cell>
          <cell r="Q11">
            <v>2011</v>
          </cell>
          <cell r="R11">
            <v>2012</v>
          </cell>
          <cell r="S11">
            <v>2013</v>
          </cell>
          <cell r="T11">
            <v>2014</v>
          </cell>
          <cell r="U11">
            <v>2015</v>
          </cell>
          <cell r="V11">
            <v>2016</v>
          </cell>
          <cell r="W11">
            <v>2017</v>
          </cell>
          <cell r="X11">
            <v>2018</v>
          </cell>
          <cell r="Y11">
            <v>2019</v>
          </cell>
          <cell r="Z11">
            <v>2020</v>
          </cell>
          <cell r="AA11">
            <v>2021</v>
          </cell>
          <cell r="AC11">
            <v>2010</v>
          </cell>
          <cell r="AD11">
            <v>2011</v>
          </cell>
          <cell r="AE11">
            <v>2012</v>
          </cell>
          <cell r="AF11">
            <v>2013</v>
          </cell>
          <cell r="AG11">
            <v>2014</v>
          </cell>
          <cell r="AH11">
            <v>2015</v>
          </cell>
          <cell r="AI11">
            <v>2016</v>
          </cell>
          <cell r="AJ11">
            <v>2017</v>
          </cell>
          <cell r="AK11">
            <v>2018</v>
          </cell>
          <cell r="AL11">
            <v>2019</v>
          </cell>
          <cell r="AM11">
            <v>2020</v>
          </cell>
          <cell r="AN11">
            <v>2021</v>
          </cell>
        </row>
        <row r="12">
          <cell r="B12" t="str">
            <v>constant rand</v>
          </cell>
          <cell r="C12">
            <v>6.0789477958792535</v>
          </cell>
          <cell r="D12">
            <v>7.2282263279445713</v>
          </cell>
          <cell r="E12">
            <v>9.2066613745106576</v>
          </cell>
          <cell r="F12">
            <v>8.820286683107275</v>
          </cell>
          <cell r="G12">
            <v>10.540657802795028</v>
          </cell>
          <cell r="H12">
            <v>11.976005588673623</v>
          </cell>
          <cell r="I12">
            <v>15.74156486013986</v>
          </cell>
          <cell r="J12">
            <v>13.037685221674876</v>
          </cell>
          <cell r="K12">
            <v>12.189388485804415</v>
          </cell>
          <cell r="L12">
            <v>10.666614441416892</v>
          </cell>
          <cell r="M12">
            <v>11.387544215714701</v>
          </cell>
          <cell r="N12">
            <v>11.516299999999999</v>
          </cell>
          <cell r="P12">
            <v>50.174660182079542</v>
          </cell>
          <cell r="Q12">
            <v>57.823019168591209</v>
          </cell>
          <cell r="R12">
            <v>77.817233579817312</v>
          </cell>
          <cell r="S12">
            <v>80.427162762022178</v>
          </cell>
          <cell r="T12">
            <v>99.545106172360235</v>
          </cell>
          <cell r="U12">
            <v>68.078382451564849</v>
          </cell>
          <cell r="V12">
            <v>45.303130069930063</v>
          </cell>
          <cell r="W12">
            <v>53.392247290640391</v>
          </cell>
          <cell r="X12">
            <v>64.764137697160891</v>
          </cell>
          <cell r="Y12">
            <v>59.358705722070837</v>
          </cell>
          <cell r="Z12">
            <v>59.746366917947228</v>
          </cell>
          <cell r="AA12">
            <v>50.594999999999999</v>
          </cell>
          <cell r="AC12">
            <v>177.0937132726402</v>
          </cell>
          <cell r="AD12">
            <v>200.2003586605081</v>
          </cell>
          <cell r="AE12">
            <v>219.2516483253589</v>
          </cell>
          <cell r="AF12">
            <v>234.39124660912452</v>
          </cell>
          <cell r="AG12">
            <v>260.05087208850927</v>
          </cell>
          <cell r="AH12">
            <v>274.20136195976153</v>
          </cell>
          <cell r="AI12">
            <v>279.9305197552448</v>
          </cell>
          <cell r="AJ12">
            <v>241.45151379310349</v>
          </cell>
          <cell r="AK12">
            <v>245.35970772870661</v>
          </cell>
          <cell r="AL12">
            <v>248.88648637602179</v>
          </cell>
          <cell r="AM12">
            <v>231.08303972165848</v>
          </cell>
          <cell r="AN12">
            <v>250.38930000000002</v>
          </cell>
        </row>
        <row r="14">
          <cell r="C14" t="str">
            <v>Agriculture</v>
          </cell>
          <cell r="P14" t="str">
            <v>Mining</v>
          </cell>
          <cell r="AC14" t="str">
            <v>Manufacturing</v>
          </cell>
        </row>
        <row r="15">
          <cell r="C15">
            <v>2010</v>
          </cell>
          <cell r="D15">
            <v>2011</v>
          </cell>
          <cell r="E15">
            <v>2012</v>
          </cell>
          <cell r="F15">
            <v>2013</v>
          </cell>
          <cell r="G15">
            <v>2014</v>
          </cell>
          <cell r="H15">
            <v>2015</v>
          </cell>
          <cell r="I15">
            <v>2016</v>
          </cell>
          <cell r="J15">
            <v>2017</v>
          </cell>
          <cell r="K15">
            <v>2018</v>
          </cell>
          <cell r="L15">
            <v>2019</v>
          </cell>
          <cell r="M15">
            <v>2020</v>
          </cell>
          <cell r="N15">
            <v>2021</v>
          </cell>
          <cell r="P15">
            <v>2010</v>
          </cell>
          <cell r="Q15">
            <v>2011</v>
          </cell>
          <cell r="R15">
            <v>2012</v>
          </cell>
          <cell r="S15">
            <v>2013</v>
          </cell>
          <cell r="T15">
            <v>2014</v>
          </cell>
          <cell r="U15">
            <v>2015</v>
          </cell>
          <cell r="V15">
            <v>2016</v>
          </cell>
          <cell r="W15">
            <v>2017</v>
          </cell>
          <cell r="X15">
            <v>2018</v>
          </cell>
          <cell r="Y15">
            <v>2019</v>
          </cell>
          <cell r="Z15">
            <v>2020</v>
          </cell>
          <cell r="AA15">
            <v>2021</v>
          </cell>
          <cell r="AC15">
            <v>2010</v>
          </cell>
          <cell r="AD15">
            <v>2011</v>
          </cell>
          <cell r="AE15">
            <v>2012</v>
          </cell>
          <cell r="AF15">
            <v>2013</v>
          </cell>
          <cell r="AG15">
            <v>2014</v>
          </cell>
          <cell r="AH15">
            <v>2015</v>
          </cell>
          <cell r="AI15">
            <v>2016</v>
          </cell>
          <cell r="AJ15">
            <v>2017</v>
          </cell>
          <cell r="AK15">
            <v>2018</v>
          </cell>
          <cell r="AL15">
            <v>2019</v>
          </cell>
          <cell r="AM15">
            <v>2020</v>
          </cell>
          <cell r="AN15">
            <v>2021</v>
          </cell>
        </row>
        <row r="16">
          <cell r="B16" t="str">
            <v>USD</v>
          </cell>
          <cell r="C16">
            <v>0.47553398927780893</v>
          </cell>
          <cell r="D16">
            <v>0.62894148582840304</v>
          </cell>
          <cell r="E16">
            <v>0.76787097602958887</v>
          </cell>
          <cell r="F16">
            <v>0.6741079112971875</v>
          </cell>
          <cell r="G16">
            <v>0.70377853168125626</v>
          </cell>
          <cell r="H16">
            <v>0.77103840434335225</v>
          </cell>
          <cell r="I16">
            <v>0.80284696393420407</v>
          </cell>
          <cell r="J16">
            <v>0.84381580892786046</v>
          </cell>
          <cell r="K16">
            <v>0.90935344281717745</v>
          </cell>
          <cell r="L16">
            <v>0.70713582921885521</v>
          </cell>
          <cell r="M16">
            <v>0.71581350020257284</v>
          </cell>
          <cell r="N16">
            <v>0.76983341652042026</v>
          </cell>
          <cell r="P16">
            <v>3.9160434494983116</v>
          </cell>
          <cell r="Q16">
            <v>5.0175871778677692</v>
          </cell>
          <cell r="R16">
            <v>6.5079971558652696</v>
          </cell>
          <cell r="S16">
            <v>6.1605370788630944</v>
          </cell>
          <cell r="T16">
            <v>6.6442942886785952</v>
          </cell>
          <cell r="U16">
            <v>4.383035636035971</v>
          </cell>
          <cell r="V16">
            <v>2.3055791005026309</v>
          </cell>
          <cell r="W16">
            <v>3.4582006534708096</v>
          </cell>
          <cell r="X16">
            <v>4.8234739512430362</v>
          </cell>
          <cell r="Y16">
            <v>3.9302595069292776</v>
          </cell>
          <cell r="Z16">
            <v>3.7926495369319002</v>
          </cell>
          <cell r="AA16">
            <v>3.3870036211145296</v>
          </cell>
          <cell r="AC16">
            <v>13.846584606691174</v>
          </cell>
          <cell r="AD16">
            <v>17.443478351921943</v>
          </cell>
          <cell r="AE16">
            <v>18.270020818566614</v>
          </cell>
          <cell r="AF16">
            <v>17.940424496653691</v>
          </cell>
          <cell r="AG16">
            <v>17.341503772006099</v>
          </cell>
          <cell r="AH16">
            <v>17.639936337116541</v>
          </cell>
          <cell r="AI16">
            <v>14.225363760486621</v>
          </cell>
          <cell r="AJ16">
            <v>15.630675044413584</v>
          </cell>
          <cell r="AK16">
            <v>18.283798499390809</v>
          </cell>
          <cell r="AL16">
            <v>16.508694174137997</v>
          </cell>
          <cell r="AM16">
            <v>14.712579008230856</v>
          </cell>
          <cell r="AN16">
            <v>16.737909396551185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hart2"/>
      <sheetName val="Sheet1"/>
      <sheetName val="Quarterly"/>
    </sheetNames>
    <sheetDataSet>
      <sheetData sheetId="0" refreshError="1"/>
      <sheetData sheetId="1" refreshError="1"/>
      <sheetData sheetId="2">
        <row r="10">
          <cell r="E10" t="str">
            <v>unit price in US$</v>
          </cell>
          <cell r="F10" t="str">
            <v>quantity</v>
          </cell>
        </row>
        <row r="11">
          <cell r="C11" t="str">
            <v>platinum</v>
          </cell>
          <cell r="D11" t="str">
            <v>Q1 2019</v>
          </cell>
          <cell r="E11">
            <v>77.94273579142444</v>
          </cell>
          <cell r="F11">
            <v>77.349006760771459</v>
          </cell>
        </row>
        <row r="13">
          <cell r="D13" t="str">
            <v>Q1 2020</v>
          </cell>
          <cell r="E13">
            <v>104.23407192100289</v>
          </cell>
          <cell r="F13">
            <v>85.542226718697307</v>
          </cell>
        </row>
        <row r="14">
          <cell r="D14" t="str">
            <v>Q2 2020</v>
          </cell>
          <cell r="E14">
            <v>107.62136647377235</v>
          </cell>
          <cell r="F14">
            <v>68.278974161327099</v>
          </cell>
        </row>
        <row r="15">
          <cell r="D15" t="str">
            <v>Q3 2020</v>
          </cell>
          <cell r="E15">
            <v>115.10918080028991</v>
          </cell>
          <cell r="F15">
            <v>98.663904546257484</v>
          </cell>
        </row>
        <row r="16">
          <cell r="D16" t="str">
            <v>Q4 2020</v>
          </cell>
          <cell r="E16">
            <v>146.73511263695286</v>
          </cell>
          <cell r="F16">
            <v>93.748293748293747</v>
          </cell>
        </row>
        <row r="17">
          <cell r="D17" t="str">
            <v>Q1 2021</v>
          </cell>
          <cell r="E17">
            <v>155.87835463552784</v>
          </cell>
          <cell r="F17">
            <v>104.76144593791652</v>
          </cell>
        </row>
        <row r="19">
          <cell r="C19" t="str">
            <v>gold</v>
          </cell>
          <cell r="D19" t="str">
            <v>Q1 2019</v>
          </cell>
          <cell r="E19">
            <v>90.618887484139975</v>
          </cell>
          <cell r="F19">
            <v>52.212463755935623</v>
          </cell>
        </row>
        <row r="21">
          <cell r="D21" t="str">
            <v>Q1 2020</v>
          </cell>
          <cell r="E21">
            <v>111.90049063019723</v>
          </cell>
          <cell r="F21">
            <v>66.281464050090349</v>
          </cell>
        </row>
        <row r="22">
          <cell r="D22" t="str">
            <v>Q2 2020</v>
          </cell>
          <cell r="E22">
            <v>117.34045575772348</v>
          </cell>
          <cell r="F22">
            <v>45.348153128545619</v>
          </cell>
        </row>
        <row r="23">
          <cell r="D23" t="str">
            <v>Q3 2020</v>
          </cell>
          <cell r="E23">
            <v>127.6637255140591</v>
          </cell>
          <cell r="F23">
            <v>70.422742362482666</v>
          </cell>
        </row>
        <row r="24">
          <cell r="D24" t="str">
            <v>Q4 2020</v>
          </cell>
          <cell r="E24">
            <v>131.49747189997382</v>
          </cell>
          <cell r="F24">
            <v>72.971382947430357</v>
          </cell>
        </row>
        <row r="25">
          <cell r="D25" t="str">
            <v>Q1 2021</v>
          </cell>
          <cell r="E25">
            <v>134.60079110751923</v>
          </cell>
          <cell r="F25">
            <v>62.789427238727569</v>
          </cell>
        </row>
        <row r="27">
          <cell r="C27" t="str">
            <v>iron ore</v>
          </cell>
          <cell r="D27" t="str">
            <v>Q1 2019</v>
          </cell>
          <cell r="E27">
            <v>57.428368438464751</v>
          </cell>
          <cell r="F27">
            <v>133.39107740193029</v>
          </cell>
        </row>
        <row r="29">
          <cell r="D29" t="str">
            <v>Q1 2020</v>
          </cell>
          <cell r="E29">
            <v>60.627119569514086</v>
          </cell>
          <cell r="F29">
            <v>136.97828350314947</v>
          </cell>
        </row>
        <row r="30">
          <cell r="D30" t="str">
            <v>Q2 2020</v>
          </cell>
          <cell r="E30">
            <v>62.252225299562944</v>
          </cell>
          <cell r="F30">
            <v>100.19652113636177</v>
          </cell>
        </row>
        <row r="31">
          <cell r="D31" t="str">
            <v>Q3 2020</v>
          </cell>
          <cell r="E31">
            <v>72.471916342986148</v>
          </cell>
          <cell r="F31">
            <v>128.02645980555951</v>
          </cell>
        </row>
        <row r="32">
          <cell r="D32" t="str">
            <v>Q4 2020</v>
          </cell>
          <cell r="E32">
            <v>86.968095393547841</v>
          </cell>
          <cell r="F32">
            <v>132.86106991133616</v>
          </cell>
        </row>
        <row r="33">
          <cell r="D33" t="str">
            <v>Q1 2021</v>
          </cell>
          <cell r="E33">
            <v>108.97851610396201</v>
          </cell>
          <cell r="F33">
            <v>121.54301650735997</v>
          </cell>
        </row>
        <row r="35">
          <cell r="C35" t="str">
            <v>coal</v>
          </cell>
          <cell r="D35" t="str">
            <v>Q1 2019</v>
          </cell>
          <cell r="E35">
            <v>66.389496774827421</v>
          </cell>
          <cell r="F35">
            <v>125.99415129244831</v>
          </cell>
        </row>
        <row r="37">
          <cell r="D37" t="str">
            <v>Q1 2020</v>
          </cell>
          <cell r="E37">
            <v>62.02588847403392</v>
          </cell>
          <cell r="F37">
            <v>117.18290664006679</v>
          </cell>
        </row>
        <row r="38">
          <cell r="D38" t="str">
            <v>Q2 2020</v>
          </cell>
          <cell r="E38">
            <v>41.844215951148975</v>
          </cell>
          <cell r="F38">
            <v>107.90488725797648</v>
          </cell>
        </row>
        <row r="39">
          <cell r="D39" t="str">
            <v>Q3 2020</v>
          </cell>
          <cell r="E39">
            <v>43.979217451930126</v>
          </cell>
          <cell r="F39">
            <v>122.6915873657654</v>
          </cell>
        </row>
        <row r="40">
          <cell r="D40" t="str">
            <v>Q4 2020</v>
          </cell>
          <cell r="E40">
            <v>53.0228691326705</v>
          </cell>
          <cell r="F40">
            <v>127.37419772238985</v>
          </cell>
        </row>
        <row r="41">
          <cell r="D41" t="str">
            <v>Q1 2021</v>
          </cell>
          <cell r="E41">
            <v>69.064356200069327</v>
          </cell>
          <cell r="F41">
            <v>101.0221650296975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Q4_2020"/>
      <sheetName val="Return on assets"/>
      <sheetName val="Mining &amp; Mnf Profits"/>
      <sheetName val="All industries"/>
      <sheetName val="Mining &amp; quarrying"/>
      <sheetName val="Manufacturing"/>
      <sheetName val="Construction"/>
    </sheetNames>
    <sheetDataSet>
      <sheetData sheetId="0" refreshError="1"/>
      <sheetData sheetId="1" refreshError="1"/>
      <sheetData sheetId="2">
        <row r="5">
          <cell r="B5" t="str">
            <v>mining</v>
          </cell>
          <cell r="C5" t="str">
            <v>manufacturing</v>
          </cell>
          <cell r="D5" t="str">
            <v>construction</v>
          </cell>
          <cell r="E5" t="str">
            <v>other</v>
          </cell>
        </row>
        <row r="6">
          <cell r="A6">
            <v>2011</v>
          </cell>
          <cell r="B6">
            <v>5.6007756603728157E-2</v>
          </cell>
          <cell r="C6">
            <v>0.11854111962433433</v>
          </cell>
          <cell r="D6">
            <v>5.9580491571226357E-2</v>
          </cell>
          <cell r="E6">
            <v>7.5730150552940398E-2</v>
          </cell>
        </row>
        <row r="7">
          <cell r="A7">
            <v>2012</v>
          </cell>
          <cell r="B7">
            <v>1.0377934868643437E-2</v>
          </cell>
          <cell r="C7">
            <v>0.10355413445670113</v>
          </cell>
          <cell r="D7">
            <v>0.16987387112753877</v>
          </cell>
          <cell r="E7">
            <v>6.8183949811027128E-2</v>
          </cell>
        </row>
        <row r="8">
          <cell r="A8">
            <v>2013</v>
          </cell>
          <cell r="B8">
            <v>-3.001460603823251E-3</v>
          </cell>
          <cell r="C8">
            <v>0.10829878704130201</v>
          </cell>
          <cell r="D8">
            <v>0.16373267484467102</v>
          </cell>
          <cell r="E8">
            <v>8.921878638424062E-2</v>
          </cell>
        </row>
        <row r="9">
          <cell r="A9">
            <v>2014</v>
          </cell>
          <cell r="B9">
            <v>6.1248887748584779E-3</v>
          </cell>
          <cell r="C9">
            <v>7.9730528474680068E-2</v>
          </cell>
          <cell r="D9">
            <v>5.8162368869825849E-2</v>
          </cell>
          <cell r="E9">
            <v>7.7408108946030701E-2</v>
          </cell>
        </row>
        <row r="10">
          <cell r="A10">
            <v>2015</v>
          </cell>
          <cell r="B10">
            <v>-2.8037192443958268E-2</v>
          </cell>
          <cell r="C10">
            <v>6.7100390099005744E-2</v>
          </cell>
          <cell r="D10">
            <v>9.5179431022289138E-2</v>
          </cell>
          <cell r="E10">
            <v>6.0592905362389662E-2</v>
          </cell>
        </row>
        <row r="11">
          <cell r="A11">
            <v>2016</v>
          </cell>
          <cell r="B11">
            <v>4.9917071486904031E-2</v>
          </cell>
          <cell r="C11">
            <v>7.6481067024958396E-2</v>
          </cell>
          <cell r="D11">
            <v>6.428914573148331E-2</v>
          </cell>
          <cell r="E11">
            <v>5.252617835174158E-2</v>
          </cell>
        </row>
        <row r="12">
          <cell r="A12">
            <v>2017</v>
          </cell>
          <cell r="B12">
            <v>2.1041337043301144E-2</v>
          </cell>
          <cell r="C12">
            <v>0.11343770189497825</v>
          </cell>
          <cell r="D12">
            <v>9.8777390894572867E-2</v>
          </cell>
          <cell r="E12">
            <v>7.0669711216578751E-2</v>
          </cell>
        </row>
        <row r="13">
          <cell r="A13">
            <v>2018</v>
          </cell>
          <cell r="B13">
            <v>1.8639927743162824E-2</v>
          </cell>
          <cell r="C13">
            <v>8.3896418388470104E-2</v>
          </cell>
          <cell r="D13">
            <v>0.10880755440377721</v>
          </cell>
          <cell r="E13">
            <v>4.0006047059496182E-2</v>
          </cell>
        </row>
        <row r="14">
          <cell r="A14">
            <v>2019</v>
          </cell>
          <cell r="B14">
            <v>3.9346651754996347E-2</v>
          </cell>
          <cell r="C14">
            <v>4.7577022959632904E-2</v>
          </cell>
          <cell r="D14">
            <v>3.0656638899193955E-2</v>
          </cell>
          <cell r="E14">
            <v>3.5747397772905982E-2</v>
          </cell>
        </row>
        <row r="15">
          <cell r="A15">
            <v>2020</v>
          </cell>
          <cell r="B15">
            <v>0.13391165542438485</v>
          </cell>
          <cell r="C15">
            <v>0.1082730306664879</v>
          </cell>
          <cell r="D15">
            <v>2.9523574426067636E-2</v>
          </cell>
          <cell r="E15">
            <v>3.911954817723233E-2</v>
          </cell>
        </row>
      </sheetData>
      <sheetData sheetId="3">
        <row r="3">
          <cell r="B3" t="str">
            <v>Mining</v>
          </cell>
          <cell r="C3" t="str">
            <v>Manufacturing</v>
          </cell>
        </row>
        <row r="4">
          <cell r="A4">
            <v>2010</v>
          </cell>
          <cell r="B4">
            <v>15.992613366209872</v>
          </cell>
          <cell r="C4">
            <v>45.478574638691903</v>
          </cell>
        </row>
        <row r="5">
          <cell r="B5">
            <v>31.207789837546276</v>
          </cell>
          <cell r="C5">
            <v>47.349520780635977</v>
          </cell>
        </row>
        <row r="6">
          <cell r="B6">
            <v>28.205417217994352</v>
          </cell>
          <cell r="C6">
            <v>46.409802392372882</v>
          </cell>
        </row>
        <row r="7">
          <cell r="B7">
            <v>46.233687895696193</v>
          </cell>
          <cell r="C7">
            <v>60.715382264275661</v>
          </cell>
        </row>
        <row r="8">
          <cell r="A8">
            <v>2011</v>
          </cell>
          <cell r="B8">
            <v>32.259960369228629</v>
          </cell>
          <cell r="C8">
            <v>48.983751640988444</v>
          </cell>
        </row>
        <row r="9">
          <cell r="B9">
            <v>34.933091709700683</v>
          </cell>
          <cell r="C9">
            <v>48.829119413768716</v>
          </cell>
        </row>
        <row r="10">
          <cell r="B10">
            <v>38.41253070367128</v>
          </cell>
          <cell r="C10">
            <v>54.398977377266633</v>
          </cell>
        </row>
        <row r="11">
          <cell r="B11">
            <v>39.559474958473075</v>
          </cell>
          <cell r="C11">
            <v>64.624630369832289</v>
          </cell>
        </row>
        <row r="12">
          <cell r="A12">
            <v>2012</v>
          </cell>
          <cell r="B12">
            <v>32.290376777694654</v>
          </cell>
          <cell r="C12">
            <v>59.840504303057855</v>
          </cell>
        </row>
        <row r="13">
          <cell r="B13">
            <v>38.220821874318766</v>
          </cell>
          <cell r="C13">
            <v>55.675787648226219</v>
          </cell>
        </row>
        <row r="14">
          <cell r="B14">
            <v>17.345428074993631</v>
          </cell>
          <cell r="C14">
            <v>57.182942413770704</v>
          </cell>
        </row>
        <row r="15">
          <cell r="B15">
            <v>7.2297824841043843</v>
          </cell>
          <cell r="C15">
            <v>55.800815608146145</v>
          </cell>
        </row>
        <row r="16">
          <cell r="A16">
            <v>2013</v>
          </cell>
          <cell r="B16">
            <v>22.266294761467321</v>
          </cell>
          <cell r="C16">
            <v>55.322347876794069</v>
          </cell>
        </row>
        <row r="17">
          <cell r="B17">
            <v>10.085513619054765</v>
          </cell>
          <cell r="C17">
            <v>48.320083707918855</v>
          </cell>
        </row>
        <row r="18">
          <cell r="B18">
            <v>0.13715301677187372</v>
          </cell>
          <cell r="C18">
            <v>69.473601077271255</v>
          </cell>
        </row>
        <row r="19">
          <cell r="B19">
            <v>-2.0762630804120445</v>
          </cell>
          <cell r="C19">
            <v>58.7363167286886</v>
          </cell>
        </row>
        <row r="20">
          <cell r="A20">
            <v>2014</v>
          </cell>
          <cell r="B20">
            <v>26.586627793288041</v>
          </cell>
          <cell r="C20">
            <v>55.728433000702637</v>
          </cell>
        </row>
        <row r="21">
          <cell r="B21">
            <v>12.605734815285389</v>
          </cell>
          <cell r="C21">
            <v>41.089603618059364</v>
          </cell>
        </row>
        <row r="22">
          <cell r="B22">
            <v>15.826664583121714</v>
          </cell>
          <cell r="C22">
            <v>53.480624870927876</v>
          </cell>
        </row>
        <row r="23">
          <cell r="B23">
            <v>4.4194520366041976</v>
          </cell>
          <cell r="C23">
            <v>44.099986632638675</v>
          </cell>
        </row>
        <row r="24">
          <cell r="A24">
            <v>2015</v>
          </cell>
          <cell r="B24">
            <v>-0.1331244415126677</v>
          </cell>
          <cell r="C24">
            <v>45.007807505532796</v>
          </cell>
        </row>
        <row r="25">
          <cell r="B25">
            <v>-15.191998222538235</v>
          </cell>
          <cell r="C25">
            <v>56.258486322290601</v>
          </cell>
        </row>
        <row r="26">
          <cell r="B26">
            <v>-7.9437416683830406</v>
          </cell>
          <cell r="C26">
            <v>54.45698614180381</v>
          </cell>
        </row>
        <row r="27">
          <cell r="B27">
            <v>-17.211807631394848</v>
          </cell>
          <cell r="C27">
            <v>40.018893533412019</v>
          </cell>
        </row>
        <row r="28">
          <cell r="A28">
            <v>2016</v>
          </cell>
          <cell r="B28">
            <v>-1.5114342700489511</v>
          </cell>
          <cell r="C28">
            <v>45.120109919013984</v>
          </cell>
        </row>
        <row r="29">
          <cell r="B29">
            <v>13.031160037199999</v>
          </cell>
          <cell r="C29">
            <v>51.729429891261532</v>
          </cell>
        </row>
        <row r="30">
          <cell r="B30">
            <v>16.957785256109421</v>
          </cell>
          <cell r="C30">
            <v>102.72390775694022</v>
          </cell>
        </row>
        <row r="31">
          <cell r="B31">
            <v>27.794295161311478</v>
          </cell>
          <cell r="C31">
            <v>47.498523722077621</v>
          </cell>
        </row>
        <row r="32">
          <cell r="A32">
            <v>2017</v>
          </cell>
          <cell r="B32">
            <v>16.001059815793102</v>
          </cell>
          <cell r="C32">
            <v>34.252322593674876</v>
          </cell>
        </row>
        <row r="33">
          <cell r="B33">
            <v>-11.134535746071428</v>
          </cell>
          <cell r="C33">
            <v>52.672381968545452</v>
          </cell>
        </row>
        <row r="34">
          <cell r="B34">
            <v>13.189026463689977</v>
          </cell>
          <cell r="C34">
            <v>63.890520646455045</v>
          </cell>
        </row>
        <row r="35">
          <cell r="B35">
            <v>11.653910256910544</v>
          </cell>
          <cell r="C35">
            <v>59.345073012862613</v>
          </cell>
        </row>
        <row r="36">
          <cell r="A36">
            <v>2018</v>
          </cell>
          <cell r="B36">
            <v>19.038860306716089</v>
          </cell>
          <cell r="C36">
            <v>34.13712186401262</v>
          </cell>
        </row>
        <row r="37">
          <cell r="B37">
            <v>-7.0538968504661286</v>
          </cell>
          <cell r="C37">
            <v>31.045854656681172</v>
          </cell>
        </row>
        <row r="38">
          <cell r="B38">
            <v>25.869300258011048</v>
          </cell>
          <cell r="C38">
            <v>55.768448286887654</v>
          </cell>
        </row>
        <row r="39">
          <cell r="B39">
            <v>9.5785826466829853</v>
          </cell>
          <cell r="C39">
            <v>43.74676756674419</v>
          </cell>
        </row>
        <row r="40">
          <cell r="A40">
            <v>2019</v>
          </cell>
          <cell r="B40">
            <v>22.364899851916437</v>
          </cell>
          <cell r="C40">
            <v>33.468869002597629</v>
          </cell>
        </row>
        <row r="41">
          <cell r="B41">
            <v>22.496951864281463</v>
          </cell>
          <cell r="C41">
            <v>33.318626694340963</v>
          </cell>
        </row>
        <row r="42">
          <cell r="B42">
            <v>18.533998284562337</v>
          </cell>
          <cell r="C42">
            <v>31.98849169167109</v>
          </cell>
        </row>
        <row r="43">
          <cell r="B43">
            <v>20.871998885529791</v>
          </cell>
          <cell r="C43">
            <v>24.167307083959496</v>
          </cell>
        </row>
        <row r="44">
          <cell r="A44">
            <v>2020</v>
          </cell>
          <cell r="B44">
            <v>35.28391427874746</v>
          </cell>
          <cell r="C44">
            <v>13.443232279605683</v>
          </cell>
        </row>
        <row r="45">
          <cell r="B45">
            <v>21.233757178570595</v>
          </cell>
          <cell r="C45">
            <v>-4.1309346428210336</v>
          </cell>
        </row>
        <row r="46">
          <cell r="B46">
            <v>59.020242592727264</v>
          </cell>
          <cell r="C46">
            <v>41.533282565677524</v>
          </cell>
        </row>
        <row r="47">
          <cell r="B47">
            <v>69.126000000000005</v>
          </cell>
          <cell r="C47">
            <v>59.76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zoomScale="70" zoomScaleNormal="70" workbookViewId="0">
      <pane xSplit="1" ySplit="3" topLeftCell="B90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1" max="1" width="7.26953125" customWidth="1"/>
    <col min="2" max="2" width="16.81640625" style="1" customWidth="1"/>
    <col min="3" max="3" width="17.6328125" bestFit="1" customWidth="1"/>
    <col min="5" max="5" width="10.6328125" bestFit="1" customWidth="1"/>
  </cols>
  <sheetData>
    <row r="1" spans="1:13" ht="26" x14ac:dyDescent="0.6">
      <c r="A1" s="14" t="s">
        <v>4</v>
      </c>
      <c r="B1" s="15"/>
      <c r="C1" s="1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6" x14ac:dyDescent="0.6">
      <c r="A2" s="14"/>
      <c r="B2" s="15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69" customHeight="1" x14ac:dyDescent="0.6">
      <c r="A3" s="14"/>
      <c r="B3" s="13" t="s">
        <v>3</v>
      </c>
      <c r="C3" s="12" t="s">
        <v>2</v>
      </c>
      <c r="D3" s="6"/>
      <c r="E3" s="11" t="s">
        <v>1</v>
      </c>
      <c r="F3" s="6"/>
      <c r="G3" s="6"/>
      <c r="I3" s="6"/>
      <c r="J3" s="6"/>
      <c r="K3" s="6"/>
      <c r="L3" s="6"/>
      <c r="M3" s="6"/>
    </row>
    <row r="4" spans="1:13" x14ac:dyDescent="0.35">
      <c r="A4" s="7">
        <v>1994</v>
      </c>
      <c r="B4" s="4">
        <f t="shared" ref="B4:B35" si="0">(1+E4)^(1/4)-1</f>
        <v>-5.0037543810244056E-4</v>
      </c>
      <c r="C4" s="3">
        <v>1623437</v>
      </c>
      <c r="E4" s="2">
        <v>-2E-3</v>
      </c>
    </row>
    <row r="5" spans="1:13" x14ac:dyDescent="0.35">
      <c r="A5" s="7"/>
      <c r="B5" s="4">
        <f t="shared" si="0"/>
        <v>9.7565843331155477E-3</v>
      </c>
      <c r="C5" s="3">
        <v>1639276.2</v>
      </c>
      <c r="E5" s="2">
        <f t="shared" ref="E5:E36" si="1">POWER(C5/C4,4)-1</f>
        <v>3.9601206974523739E-2</v>
      </c>
    </row>
    <row r="6" spans="1:13" x14ac:dyDescent="0.35">
      <c r="A6" s="7"/>
      <c r="B6" s="4">
        <f t="shared" si="0"/>
        <v>1.1245145875966589E-2</v>
      </c>
      <c r="C6" s="3">
        <v>1657710.1</v>
      </c>
      <c r="E6" s="2">
        <f t="shared" si="1"/>
        <v>4.5745007272415261E-2</v>
      </c>
    </row>
    <row r="7" spans="1:13" x14ac:dyDescent="0.35">
      <c r="A7" s="7"/>
      <c r="B7" s="4">
        <f t="shared" si="0"/>
        <v>1.8582983840178091E-2</v>
      </c>
      <c r="C7" s="3">
        <v>1688515.3</v>
      </c>
      <c r="E7" s="2">
        <f t="shared" si="1"/>
        <v>7.6429687187754558E-2</v>
      </c>
    </row>
    <row r="8" spans="1:13" x14ac:dyDescent="0.35">
      <c r="A8" s="7">
        <v>1995</v>
      </c>
      <c r="B8" s="4">
        <f t="shared" si="0"/>
        <v>2.4994739461348114E-3</v>
      </c>
      <c r="C8" s="3">
        <v>1692735.7</v>
      </c>
      <c r="E8" s="2">
        <f t="shared" si="1"/>
        <v>1.0035442504167325E-2</v>
      </c>
    </row>
    <row r="9" spans="1:13" x14ac:dyDescent="0.35">
      <c r="A9" s="7"/>
      <c r="B9" s="4">
        <f t="shared" si="0"/>
        <v>2.8748138294714121E-3</v>
      </c>
      <c r="C9" s="3">
        <v>1697602</v>
      </c>
      <c r="E9" s="2">
        <f t="shared" si="1"/>
        <v>1.1548937749735977E-2</v>
      </c>
    </row>
    <row r="10" spans="1:13" x14ac:dyDescent="0.35">
      <c r="A10" s="7"/>
      <c r="B10" s="4">
        <f t="shared" si="0"/>
        <v>6.6346528809462235E-3</v>
      </c>
      <c r="C10" s="3">
        <v>1708865</v>
      </c>
      <c r="E10" s="2">
        <f t="shared" si="1"/>
        <v>2.6803893367552956E-2</v>
      </c>
    </row>
    <row r="11" spans="1:13" x14ac:dyDescent="0.35">
      <c r="A11" s="7"/>
      <c r="B11" s="4">
        <f t="shared" si="0"/>
        <v>3.3636360976436741E-3</v>
      </c>
      <c r="C11" s="3">
        <v>1714613</v>
      </c>
      <c r="E11" s="2">
        <f t="shared" si="1"/>
        <v>1.3522581030724901E-2</v>
      </c>
    </row>
    <row r="12" spans="1:13" x14ac:dyDescent="0.35">
      <c r="A12" s="7">
        <v>1996</v>
      </c>
      <c r="B12" s="4">
        <f t="shared" si="0"/>
        <v>1.852499660273188E-2</v>
      </c>
      <c r="C12" s="3">
        <v>1746376.2</v>
      </c>
      <c r="E12" s="2">
        <f t="shared" si="1"/>
        <v>7.6184586474960181E-2</v>
      </c>
    </row>
    <row r="13" spans="1:13" x14ac:dyDescent="0.35">
      <c r="A13" s="7"/>
      <c r="B13" s="4">
        <f t="shared" si="0"/>
        <v>1.1913584255213827E-2</v>
      </c>
      <c r="C13" s="3">
        <v>1767181.8</v>
      </c>
      <c r="E13" s="2">
        <f t="shared" si="1"/>
        <v>4.8512721851164953E-2</v>
      </c>
    </row>
    <row r="14" spans="1:13" x14ac:dyDescent="0.35">
      <c r="A14" s="7"/>
      <c r="B14" s="4">
        <f t="shared" si="0"/>
        <v>1.1914846565305171E-2</v>
      </c>
      <c r="C14" s="3">
        <v>1788237.5</v>
      </c>
      <c r="E14" s="2">
        <f t="shared" si="1"/>
        <v>4.8517953723478557E-2</v>
      </c>
    </row>
    <row r="15" spans="1:13" x14ac:dyDescent="0.35">
      <c r="A15" s="7"/>
      <c r="B15" s="4">
        <f t="shared" si="0"/>
        <v>9.3816956640266902E-3</v>
      </c>
      <c r="C15" s="3">
        <v>1805014.2</v>
      </c>
      <c r="E15" s="2">
        <f t="shared" si="1"/>
        <v>3.805819064947058E-2</v>
      </c>
    </row>
    <row r="16" spans="1:13" x14ac:dyDescent="0.35">
      <c r="A16" s="7">
        <v>1997</v>
      </c>
      <c r="B16" s="4">
        <f t="shared" si="0"/>
        <v>4.6421795462883164E-3</v>
      </c>
      <c r="C16" s="3">
        <v>1813393.4</v>
      </c>
      <c r="E16" s="2">
        <f t="shared" si="1"/>
        <v>1.8698417787925914E-2</v>
      </c>
    </row>
    <row r="17" spans="1:5" x14ac:dyDescent="0.35">
      <c r="A17" s="7"/>
      <c r="B17" s="4">
        <f t="shared" si="0"/>
        <v>6.2740936412364334E-3</v>
      </c>
      <c r="C17" s="3">
        <v>1824770.8</v>
      </c>
      <c r="E17" s="2">
        <f t="shared" si="1"/>
        <v>2.5333549520592191E-2</v>
      </c>
    </row>
    <row r="18" spans="1:5" x14ac:dyDescent="0.35">
      <c r="A18" s="7"/>
      <c r="B18" s="4">
        <f t="shared" si="0"/>
        <v>9.9426185469431161E-4</v>
      </c>
      <c r="C18" s="3">
        <v>1826585.1</v>
      </c>
      <c r="E18" s="2">
        <f t="shared" si="1"/>
        <v>3.9829826911053079E-3</v>
      </c>
    </row>
    <row r="19" spans="1:5" x14ac:dyDescent="0.35">
      <c r="A19" s="7"/>
      <c r="B19" s="4">
        <f t="shared" si="0"/>
        <v>1.3812660576273394E-4</v>
      </c>
      <c r="C19" s="3">
        <v>1826837.4</v>
      </c>
      <c r="E19" s="2">
        <f t="shared" si="1"/>
        <v>5.5262090734808922E-4</v>
      </c>
    </row>
    <row r="20" spans="1:5" x14ac:dyDescent="0.35">
      <c r="A20" s="7">
        <v>1998</v>
      </c>
      <c r="B20" s="4">
        <f t="shared" si="0"/>
        <v>2.6270537268398009E-3</v>
      </c>
      <c r="C20" s="3">
        <v>1831636.6</v>
      </c>
      <c r="E20" s="2">
        <f t="shared" si="1"/>
        <v>1.0549695944203963E-2</v>
      </c>
    </row>
    <row r="21" spans="1:5" x14ac:dyDescent="0.35">
      <c r="A21" s="7"/>
      <c r="B21" s="4">
        <f t="shared" si="0"/>
        <v>1.414254334074716E-3</v>
      </c>
      <c r="C21" s="3">
        <v>1834227</v>
      </c>
      <c r="E21" s="2">
        <f t="shared" si="1"/>
        <v>5.6690293469148223E-3</v>
      </c>
    </row>
    <row r="22" spans="1:5" x14ac:dyDescent="0.35">
      <c r="A22" s="7"/>
      <c r="B22" s="4">
        <f t="shared" si="0"/>
        <v>-2.1903504855179667E-3</v>
      </c>
      <c r="C22" s="3">
        <v>1830209.4</v>
      </c>
      <c r="E22" s="2">
        <f t="shared" si="1"/>
        <v>-8.732658141568872E-3</v>
      </c>
    </row>
    <row r="23" spans="1:5" x14ac:dyDescent="0.35">
      <c r="A23" s="7"/>
      <c r="B23" s="4">
        <f t="shared" si="0"/>
        <v>9.6284064544760462E-4</v>
      </c>
      <c r="C23" s="3">
        <v>1831971.6</v>
      </c>
      <c r="E23" s="2">
        <f t="shared" si="1"/>
        <v>3.856928525753478E-3</v>
      </c>
    </row>
    <row r="24" spans="1:5" x14ac:dyDescent="0.35">
      <c r="A24" s="7">
        <v>1999</v>
      </c>
      <c r="B24" s="4">
        <f t="shared" si="0"/>
        <v>9.6107385070816065E-3</v>
      </c>
      <c r="C24" s="3">
        <v>1849578.2</v>
      </c>
      <c r="E24" s="2">
        <f t="shared" si="1"/>
        <v>3.9000711160986912E-2</v>
      </c>
    </row>
    <row r="25" spans="1:5" x14ac:dyDescent="0.35">
      <c r="A25" s="7"/>
      <c r="B25" s="4">
        <f t="shared" si="0"/>
        <v>7.9588957093028601E-3</v>
      </c>
      <c r="C25" s="3">
        <v>1864298.8</v>
      </c>
      <c r="E25" s="2">
        <f t="shared" si="1"/>
        <v>3.2217667568970487E-2</v>
      </c>
    </row>
    <row r="26" spans="1:5" x14ac:dyDescent="0.35">
      <c r="A26" s="7"/>
      <c r="B26" s="4">
        <f t="shared" si="0"/>
        <v>1.0918957840878374E-2</v>
      </c>
      <c r="C26" s="3">
        <v>1884655</v>
      </c>
      <c r="E26" s="2">
        <f t="shared" si="1"/>
        <v>4.4396394611384782E-2</v>
      </c>
    </row>
    <row r="27" spans="1:5" x14ac:dyDescent="0.35">
      <c r="A27" s="7"/>
      <c r="B27" s="4">
        <f t="shared" si="0"/>
        <v>1.0999838166667164E-2</v>
      </c>
      <c r="C27" s="3">
        <v>1905385.9</v>
      </c>
      <c r="E27" s="2">
        <f t="shared" si="1"/>
        <v>4.4730669709985849E-2</v>
      </c>
    </row>
    <row r="28" spans="1:5" x14ac:dyDescent="0.35">
      <c r="A28" s="7">
        <v>2000</v>
      </c>
      <c r="B28" s="4">
        <f t="shared" si="0"/>
        <v>1.1688393411539488E-2</v>
      </c>
      <c r="C28" s="3">
        <v>1927656.8</v>
      </c>
      <c r="E28" s="2">
        <f t="shared" si="1"/>
        <v>4.7579690959037801E-2</v>
      </c>
    </row>
    <row r="29" spans="1:5" x14ac:dyDescent="0.35">
      <c r="A29" s="7"/>
      <c r="B29" s="4">
        <f t="shared" si="0"/>
        <v>9.1998741684722329E-3</v>
      </c>
      <c r="C29" s="3">
        <v>1945391</v>
      </c>
      <c r="E29" s="2">
        <f t="shared" si="1"/>
        <v>3.7310444569917944E-2</v>
      </c>
    </row>
    <row r="30" spans="1:5" x14ac:dyDescent="0.35">
      <c r="A30" s="7"/>
      <c r="B30" s="4">
        <f t="shared" si="0"/>
        <v>9.9039730316425878E-3</v>
      </c>
      <c r="C30" s="3">
        <v>1964658.1</v>
      </c>
      <c r="E30" s="2">
        <f t="shared" si="1"/>
        <v>4.0208319709466478E-2</v>
      </c>
    </row>
    <row r="31" spans="1:5" x14ac:dyDescent="0.35">
      <c r="A31" s="7"/>
      <c r="B31" s="4">
        <f t="shared" si="0"/>
        <v>8.5095722253147876E-3</v>
      </c>
      <c r="C31" s="3">
        <v>1981376.5</v>
      </c>
      <c r="E31" s="2">
        <f t="shared" si="1"/>
        <v>3.4475235870091492E-2</v>
      </c>
    </row>
    <row r="32" spans="1:5" x14ac:dyDescent="0.35">
      <c r="A32" s="7">
        <v>2001</v>
      </c>
      <c r="B32" s="4">
        <f t="shared" si="0"/>
        <v>6.1451218382775341E-3</v>
      </c>
      <c r="C32" s="3">
        <v>1993552.3</v>
      </c>
      <c r="E32" s="2">
        <f t="shared" si="1"/>
        <v>2.4807992134766366E-2</v>
      </c>
    </row>
    <row r="33" spans="1:9" x14ac:dyDescent="0.35">
      <c r="A33" s="7"/>
      <c r="B33" s="4">
        <f t="shared" si="0"/>
        <v>4.9970096094293925E-3</v>
      </c>
      <c r="C33" s="3">
        <v>2003514.1</v>
      </c>
      <c r="E33" s="2">
        <f t="shared" si="1"/>
        <v>2.0138358794863365E-2</v>
      </c>
    </row>
    <row r="34" spans="1:9" x14ac:dyDescent="0.35">
      <c r="A34" s="7"/>
      <c r="B34" s="4">
        <f t="shared" si="0"/>
        <v>2.6574806735824019E-3</v>
      </c>
      <c r="C34" s="3">
        <v>2008838.4</v>
      </c>
      <c r="D34" s="2"/>
      <c r="E34" s="2">
        <f t="shared" si="1"/>
        <v>1.0672371036064554E-2</v>
      </c>
      <c r="F34" s="5"/>
      <c r="G34" s="5"/>
      <c r="H34" s="5"/>
      <c r="I34" s="5"/>
    </row>
    <row r="35" spans="1:9" x14ac:dyDescent="0.35">
      <c r="A35" s="7"/>
      <c r="B35" s="4">
        <f t="shared" si="0"/>
        <v>7.6932022008342482E-3</v>
      </c>
      <c r="C35" s="3">
        <v>2024292.8</v>
      </c>
      <c r="D35" s="2"/>
      <c r="E35" s="2">
        <f t="shared" si="1"/>
        <v>3.1129745766631745E-2</v>
      </c>
      <c r="F35" s="5"/>
      <c r="G35" s="5"/>
      <c r="H35" s="5"/>
      <c r="I35" s="5"/>
    </row>
    <row r="36" spans="1:9" x14ac:dyDescent="0.35">
      <c r="A36" s="7">
        <v>2002</v>
      </c>
      <c r="B36" s="4">
        <f t="shared" ref="B36:B67" si="2">(1+E36)^(1/4)-1</f>
        <v>1.0859990214854287E-2</v>
      </c>
      <c r="C36" s="3">
        <v>2046276.6</v>
      </c>
      <c r="D36" s="2"/>
      <c r="E36" s="2">
        <f t="shared" si="1"/>
        <v>4.4152734376291747E-2</v>
      </c>
      <c r="F36" s="5"/>
      <c r="G36" s="5"/>
      <c r="H36" s="5"/>
      <c r="I36" s="5"/>
    </row>
    <row r="37" spans="1:9" x14ac:dyDescent="0.35">
      <c r="A37" s="7"/>
      <c r="B37" s="4">
        <f t="shared" si="2"/>
        <v>1.2688607200023627E-2</v>
      </c>
      <c r="C37" s="3">
        <v>2072241</v>
      </c>
      <c r="D37" s="2"/>
      <c r="E37" s="2">
        <f t="shared" ref="E37:E68" si="3">POWER(C37/C36,4)-1</f>
        <v>5.1728630738634207E-2</v>
      </c>
      <c r="F37" s="5"/>
      <c r="G37" s="5"/>
      <c r="H37" s="5"/>
      <c r="I37" s="5"/>
    </row>
    <row r="38" spans="1:9" x14ac:dyDescent="0.35">
      <c r="A38" s="7"/>
      <c r="B38" s="4">
        <f t="shared" si="2"/>
        <v>1.1318278134637705E-2</v>
      </c>
      <c r="C38" s="3">
        <v>2095695.2</v>
      </c>
      <c r="D38" s="2"/>
      <c r="E38" s="2">
        <f t="shared" si="3"/>
        <v>4.6047549109182295E-2</v>
      </c>
      <c r="F38" s="5"/>
      <c r="G38" s="5"/>
      <c r="H38" s="5"/>
      <c r="I38" s="5"/>
    </row>
    <row r="39" spans="1:9" x14ac:dyDescent="0.35">
      <c r="A39" s="7"/>
      <c r="B39" s="4">
        <f t="shared" si="2"/>
        <v>8.3199121704340406E-3</v>
      </c>
      <c r="C39" s="3">
        <v>2113131.2000000002</v>
      </c>
      <c r="D39" s="2"/>
      <c r="E39" s="2">
        <f t="shared" si="3"/>
        <v>3.3697282752932489E-2</v>
      </c>
      <c r="F39" s="5"/>
      <c r="G39" s="5"/>
      <c r="H39" s="5"/>
      <c r="I39" s="5"/>
    </row>
    <row r="40" spans="1:9" x14ac:dyDescent="0.35">
      <c r="A40" s="7">
        <v>2003</v>
      </c>
      <c r="B40" s="4">
        <f t="shared" si="2"/>
        <v>6.3476891543696734E-3</v>
      </c>
      <c r="C40" s="3">
        <v>2126544.7000000002</v>
      </c>
      <c r="D40" s="2"/>
      <c r="E40" s="2">
        <f t="shared" si="3"/>
        <v>2.5633540260378229E-2</v>
      </c>
      <c r="F40" s="5"/>
      <c r="G40" s="5"/>
      <c r="H40" s="5"/>
      <c r="I40" s="5"/>
    </row>
    <row r="41" spans="1:9" x14ac:dyDescent="0.35">
      <c r="A41" s="7"/>
      <c r="B41" s="4">
        <f t="shared" si="2"/>
        <v>4.8837440379221331E-3</v>
      </c>
      <c r="C41" s="3">
        <v>2136930.2000000002</v>
      </c>
      <c r="D41" s="2"/>
      <c r="E41" s="2">
        <f t="shared" si="3"/>
        <v>1.9678548383377459E-2</v>
      </c>
      <c r="F41" s="5"/>
      <c r="G41" s="5"/>
      <c r="H41" s="5"/>
      <c r="I41" s="5"/>
    </row>
    <row r="42" spans="1:9" x14ac:dyDescent="0.35">
      <c r="A42" s="7"/>
      <c r="B42" s="4">
        <f t="shared" si="2"/>
        <v>5.4268969571396042E-3</v>
      </c>
      <c r="C42" s="3">
        <v>2148527.1</v>
      </c>
      <c r="D42" s="2"/>
      <c r="E42" s="2">
        <f t="shared" si="3"/>
        <v>2.1884935274173012E-2</v>
      </c>
      <c r="F42" s="5"/>
      <c r="G42" s="5"/>
      <c r="H42" s="5"/>
      <c r="I42" s="5"/>
    </row>
    <row r="43" spans="1:9" x14ac:dyDescent="0.35">
      <c r="A43" s="7"/>
      <c r="B43" s="4">
        <f t="shared" si="2"/>
        <v>5.7693477545617267E-3</v>
      </c>
      <c r="C43" s="3">
        <v>2160922.7000000002</v>
      </c>
      <c r="D43" s="2"/>
      <c r="E43" s="2">
        <f t="shared" si="3"/>
        <v>2.3277872506821007E-2</v>
      </c>
      <c r="F43" s="5"/>
      <c r="G43" s="5"/>
      <c r="H43" s="5"/>
      <c r="I43" s="5"/>
    </row>
    <row r="44" spans="1:9" x14ac:dyDescent="0.35">
      <c r="A44" s="7">
        <v>2004</v>
      </c>
      <c r="B44" s="4">
        <f t="shared" si="2"/>
        <v>1.5137792758620927E-2</v>
      </c>
      <c r="C44" s="3">
        <v>2193634.2999999998</v>
      </c>
      <c r="D44" s="2"/>
      <c r="E44" s="2">
        <f t="shared" si="3"/>
        <v>6.1940015631638534E-2</v>
      </c>
      <c r="F44" s="5"/>
      <c r="G44" s="5"/>
      <c r="H44" s="5"/>
      <c r="I44" s="5"/>
    </row>
    <row r="45" spans="1:9" x14ac:dyDescent="0.35">
      <c r="A45" s="7"/>
      <c r="B45" s="4">
        <f t="shared" si="2"/>
        <v>1.3974480614202811E-2</v>
      </c>
      <c r="C45" s="3">
        <v>2224289.2000000002</v>
      </c>
      <c r="D45" s="2"/>
      <c r="E45" s="2">
        <f t="shared" si="3"/>
        <v>5.70805933318419E-2</v>
      </c>
      <c r="F45" s="5"/>
      <c r="G45" s="5"/>
      <c r="H45" s="5"/>
      <c r="I45" s="5"/>
    </row>
    <row r="46" spans="1:9" x14ac:dyDescent="0.35">
      <c r="A46" s="7"/>
      <c r="B46" s="4">
        <f t="shared" si="2"/>
        <v>1.6351156135631983E-2</v>
      </c>
      <c r="C46" s="3">
        <v>2260658.9</v>
      </c>
      <c r="E46" s="2">
        <f t="shared" si="3"/>
        <v>6.7026344466387666E-2</v>
      </c>
    </row>
    <row r="47" spans="1:9" x14ac:dyDescent="0.35">
      <c r="A47" s="7"/>
      <c r="B47" s="4">
        <f t="shared" si="2"/>
        <v>1.0679320086723454E-2</v>
      </c>
      <c r="C47" s="3">
        <v>2284801.2000000002</v>
      </c>
      <c r="E47" s="2">
        <f t="shared" si="3"/>
        <v>4.3406452434057385E-2</v>
      </c>
    </row>
    <row r="48" spans="1:9" x14ac:dyDescent="0.35">
      <c r="A48" s="7">
        <v>2005</v>
      </c>
      <c r="B48" s="4">
        <f t="shared" si="2"/>
        <v>1.0166048582257448E-2</v>
      </c>
      <c r="C48" s="3">
        <v>2308028.6</v>
      </c>
      <c r="E48" s="2">
        <f t="shared" si="3"/>
        <v>4.1288498857880107E-2</v>
      </c>
    </row>
    <row r="49" spans="1:5" x14ac:dyDescent="0.35">
      <c r="A49" s="7"/>
      <c r="B49" s="4">
        <f t="shared" si="2"/>
        <v>1.7945531524176106E-2</v>
      </c>
      <c r="C49" s="3">
        <v>2349447.4</v>
      </c>
      <c r="E49" s="2">
        <f t="shared" si="3"/>
        <v>7.3737599284682487E-2</v>
      </c>
    </row>
    <row r="50" spans="1:5" x14ac:dyDescent="0.35">
      <c r="A50" s="7"/>
      <c r="B50" s="4">
        <f t="shared" si="2"/>
        <v>1.3636227821061331E-2</v>
      </c>
      <c r="C50" s="3">
        <v>2381485</v>
      </c>
      <c r="E50" s="2">
        <f t="shared" si="3"/>
        <v>5.567076856230746E-2</v>
      </c>
    </row>
    <row r="51" spans="1:5" x14ac:dyDescent="0.35">
      <c r="A51" s="7"/>
      <c r="B51" s="4">
        <f t="shared" si="2"/>
        <v>6.6935546518245292E-3</v>
      </c>
      <c r="C51" s="3">
        <v>2397425.6</v>
      </c>
      <c r="E51" s="2">
        <f t="shared" si="3"/>
        <v>2.7044242241287764E-2</v>
      </c>
    </row>
    <row r="52" spans="1:5" x14ac:dyDescent="0.35">
      <c r="A52" s="7">
        <v>2006</v>
      </c>
      <c r="B52" s="4">
        <f t="shared" si="2"/>
        <v>1.7571723602183953E-2</v>
      </c>
      <c r="C52" s="3">
        <v>2439552.5</v>
      </c>
      <c r="E52" s="2">
        <f t="shared" si="3"/>
        <v>7.2161284732972453E-2</v>
      </c>
    </row>
    <row r="53" spans="1:5" x14ac:dyDescent="0.35">
      <c r="A53" s="7"/>
      <c r="B53" s="4">
        <f t="shared" si="2"/>
        <v>1.4202440816502238E-2</v>
      </c>
      <c r="C53" s="3">
        <v>2474200.1</v>
      </c>
      <c r="E53" s="2">
        <f t="shared" si="3"/>
        <v>5.8031518962548434E-2</v>
      </c>
    </row>
    <row r="54" spans="1:5" x14ac:dyDescent="0.35">
      <c r="A54" s="7"/>
      <c r="B54" s="4">
        <f t="shared" si="2"/>
        <v>1.3811494066304553E-2</v>
      </c>
      <c r="C54" s="3">
        <v>2508372.5</v>
      </c>
      <c r="E54" s="2">
        <f t="shared" si="3"/>
        <v>5.6401095440697047E-2</v>
      </c>
    </row>
    <row r="55" spans="1:5" x14ac:dyDescent="0.35">
      <c r="A55" s="7"/>
      <c r="B55" s="4">
        <f t="shared" si="2"/>
        <v>1.3828169460476936E-2</v>
      </c>
      <c r="C55" s="3">
        <v>2543058.7000000002</v>
      </c>
      <c r="E55" s="2">
        <f t="shared" si="3"/>
        <v>5.6470600824701345E-2</v>
      </c>
    </row>
    <row r="56" spans="1:5" x14ac:dyDescent="0.35">
      <c r="A56" s="7">
        <v>2007</v>
      </c>
      <c r="B56" s="4">
        <f t="shared" si="2"/>
        <v>1.6236668072191929E-2</v>
      </c>
      <c r="C56" s="3">
        <v>2584349.5</v>
      </c>
      <c r="E56" s="2">
        <f t="shared" si="3"/>
        <v>6.6545639981345994E-2</v>
      </c>
    </row>
    <row r="57" spans="1:5" x14ac:dyDescent="0.35">
      <c r="A57" s="7"/>
      <c r="B57" s="4">
        <f t="shared" si="2"/>
        <v>8.1955633322816634E-3</v>
      </c>
      <c r="C57" s="3">
        <v>2605529.7000000002</v>
      </c>
      <c r="E57" s="2">
        <f t="shared" si="3"/>
        <v>3.3187463284646057E-2</v>
      </c>
    </row>
    <row r="58" spans="1:5" x14ac:dyDescent="0.35">
      <c r="A58" s="7"/>
      <c r="B58" s="4">
        <f t="shared" si="2"/>
        <v>1.1719344438867685E-2</v>
      </c>
      <c r="C58" s="3">
        <v>2636064.7999999998</v>
      </c>
      <c r="E58" s="2">
        <f t="shared" si="3"/>
        <v>4.7707893104331101E-2</v>
      </c>
    </row>
    <row r="59" spans="1:5" x14ac:dyDescent="0.35">
      <c r="A59" s="7"/>
      <c r="B59" s="4">
        <f t="shared" si="2"/>
        <v>1.4170782144657501E-2</v>
      </c>
      <c r="C59" s="3">
        <v>2673419.9</v>
      </c>
      <c r="E59" s="2">
        <f t="shared" si="3"/>
        <v>5.7899417902770312E-2</v>
      </c>
    </row>
    <row r="60" spans="1:5" x14ac:dyDescent="0.35">
      <c r="A60" s="7">
        <v>2008</v>
      </c>
      <c r="B60" s="4">
        <f t="shared" si="2"/>
        <v>4.200088433545357E-3</v>
      </c>
      <c r="C60" s="3">
        <v>2684648.5</v>
      </c>
      <c r="E60" s="2">
        <f t="shared" si="3"/>
        <v>1.6906494873194955E-2</v>
      </c>
    </row>
    <row r="61" spans="1:5" x14ac:dyDescent="0.35">
      <c r="A61" s="7"/>
      <c r="B61" s="4">
        <f t="shared" si="2"/>
        <v>1.2208898110870114E-2</v>
      </c>
      <c r="C61" s="3">
        <v>2717425.1</v>
      </c>
      <c r="E61" s="2">
        <f t="shared" si="3"/>
        <v>4.973723711634892E-2</v>
      </c>
    </row>
    <row r="62" spans="1:5" x14ac:dyDescent="0.35">
      <c r="A62" s="7"/>
      <c r="B62" s="4">
        <f t="shared" si="2"/>
        <v>2.3893574840387899E-3</v>
      </c>
      <c r="C62" s="3">
        <v>2723918</v>
      </c>
      <c r="E62" s="2">
        <f t="shared" si="3"/>
        <v>9.5917387075137306E-3</v>
      </c>
    </row>
    <row r="63" spans="1:5" x14ac:dyDescent="0.35">
      <c r="A63" s="7"/>
      <c r="B63" s="4">
        <f t="shared" si="2"/>
        <v>-5.692462107890095E-3</v>
      </c>
      <c r="C63" s="3">
        <v>2708412.2</v>
      </c>
      <c r="E63" s="2">
        <f t="shared" si="3"/>
        <v>-2.2576160469445994E-2</v>
      </c>
    </row>
    <row r="64" spans="1:5" x14ac:dyDescent="0.35">
      <c r="A64" s="7">
        <v>2009</v>
      </c>
      <c r="B64" s="4">
        <f t="shared" si="2"/>
        <v>-1.5555387027129886E-2</v>
      </c>
      <c r="C64" s="3">
        <v>2666281.7999999998</v>
      </c>
      <c r="E64" s="2">
        <f t="shared" si="3"/>
        <v>-6.0784724917699373E-2</v>
      </c>
    </row>
    <row r="65" spans="1:5" x14ac:dyDescent="0.35">
      <c r="A65" s="7"/>
      <c r="B65" s="4">
        <f t="shared" si="2"/>
        <v>-3.4321203407682299E-3</v>
      </c>
      <c r="C65" s="3">
        <v>2657130.7999999998</v>
      </c>
      <c r="E65" s="2">
        <f t="shared" si="3"/>
        <v>-1.3657966238076691E-2</v>
      </c>
    </row>
    <row r="66" spans="1:5" x14ac:dyDescent="0.35">
      <c r="A66" s="7"/>
      <c r="B66" s="4">
        <f t="shared" si="2"/>
        <v>2.3190804156123512E-3</v>
      </c>
      <c r="C66" s="3">
        <v>2663292.9</v>
      </c>
      <c r="E66" s="2">
        <f t="shared" si="3"/>
        <v>9.3086403845190624E-3</v>
      </c>
    </row>
    <row r="67" spans="1:5" x14ac:dyDescent="0.35">
      <c r="A67" s="7"/>
      <c r="B67" s="4">
        <f t="shared" si="2"/>
        <v>6.6697508186199794E-3</v>
      </c>
      <c r="C67" s="3">
        <v>2681056.4</v>
      </c>
      <c r="E67" s="2">
        <f t="shared" si="3"/>
        <v>2.6947105540168659E-2</v>
      </c>
    </row>
    <row r="68" spans="1:5" x14ac:dyDescent="0.35">
      <c r="A68" s="7">
        <v>2010</v>
      </c>
      <c r="B68" s="4">
        <f t="shared" ref="B68:B99" si="4">(1+E68)^(1/4)-1</f>
        <v>1.138297115276532E-2</v>
      </c>
      <c r="C68" s="3">
        <v>2711574.7876601368</v>
      </c>
      <c r="E68" s="2">
        <f t="shared" si="3"/>
        <v>4.6315233252382848E-2</v>
      </c>
    </row>
    <row r="69" spans="1:5" x14ac:dyDescent="0.35">
      <c r="A69" s="7"/>
      <c r="B69" s="4">
        <f t="shared" si="4"/>
        <v>6.8224369209151092E-3</v>
      </c>
      <c r="C69" s="3">
        <v>2730074.3356052916</v>
      </c>
      <c r="E69" s="2">
        <f t="shared" ref="E69:E100" si="5">POWER(C69/C68,4)-1</f>
        <v>2.7570293942319246E-2</v>
      </c>
    </row>
    <row r="70" spans="1:5" x14ac:dyDescent="0.35">
      <c r="A70" s="7"/>
      <c r="B70" s="4">
        <f t="shared" si="4"/>
        <v>1.1117478992437979E-2</v>
      </c>
      <c r="C70" s="3">
        <v>2760425.8796791774</v>
      </c>
      <c r="E70" s="2">
        <f t="shared" si="5"/>
        <v>4.5217017688940819E-2</v>
      </c>
    </row>
    <row r="71" spans="1:5" x14ac:dyDescent="0.35">
      <c r="A71" s="7"/>
      <c r="B71" s="4">
        <f t="shared" si="4"/>
        <v>1.0697965294457656E-2</v>
      </c>
      <c r="C71" s="3">
        <v>2789956.8199379081</v>
      </c>
      <c r="E71" s="2">
        <f t="shared" si="5"/>
        <v>4.3483450421561765E-2</v>
      </c>
    </row>
    <row r="72" spans="1:5" x14ac:dyDescent="0.35">
      <c r="A72" s="7">
        <v>2011</v>
      </c>
      <c r="B72" s="4">
        <f t="shared" si="4"/>
        <v>9.5045655193879419E-3</v>
      </c>
      <c r="C72" s="3">
        <v>2816474.1473292713</v>
      </c>
      <c r="E72" s="2">
        <f t="shared" si="5"/>
        <v>3.8563725279391114E-2</v>
      </c>
    </row>
    <row r="73" spans="1:5" x14ac:dyDescent="0.35">
      <c r="A73" s="7"/>
      <c r="B73" s="4">
        <f t="shared" si="4"/>
        <v>5.7495169786434541E-3</v>
      </c>
      <c r="C73" s="3">
        <v>2832667.5132592516</v>
      </c>
      <c r="E73" s="2">
        <f t="shared" si="5"/>
        <v>2.3197170926138933E-2</v>
      </c>
    </row>
    <row r="74" spans="1:5" x14ac:dyDescent="0.35">
      <c r="A74" s="7"/>
      <c r="B74" s="4">
        <f t="shared" si="4"/>
        <v>2.9824618233837974E-3</v>
      </c>
      <c r="C74" s="3">
        <v>2841115.8359758868</v>
      </c>
      <c r="E74" s="2">
        <f t="shared" si="5"/>
        <v>1.1983323960753856E-2</v>
      </c>
    </row>
    <row r="75" spans="1:5" x14ac:dyDescent="0.35">
      <c r="A75" s="7"/>
      <c r="B75" s="4">
        <f t="shared" si="4"/>
        <v>7.6220534955915298E-3</v>
      </c>
      <c r="C75" s="3">
        <v>2862770.9728648672</v>
      </c>
      <c r="E75" s="2">
        <f t="shared" si="5"/>
        <v>3.0838562788531698E-2</v>
      </c>
    </row>
    <row r="76" spans="1:5" x14ac:dyDescent="0.35">
      <c r="A76" s="7">
        <v>2012</v>
      </c>
      <c r="B76" s="4">
        <f t="shared" si="4"/>
        <v>4.0008368109192283E-3</v>
      </c>
      <c r="C76" s="3">
        <v>2874224.4523543357</v>
      </c>
      <c r="E76" s="2">
        <f t="shared" si="5"/>
        <v>1.6099643831718025E-2</v>
      </c>
    </row>
    <row r="77" spans="1:5" x14ac:dyDescent="0.35">
      <c r="A77" s="7"/>
      <c r="B77" s="4">
        <f t="shared" si="4"/>
        <v>8.9770362836656403E-3</v>
      </c>
      <c r="C77" s="3">
        <v>2900026.4695505193</v>
      </c>
      <c r="E77" s="2">
        <f t="shared" si="5"/>
        <v>3.6394568447757125E-2</v>
      </c>
    </row>
    <row r="78" spans="1:5" x14ac:dyDescent="0.35">
      <c r="A78" s="7"/>
      <c r="B78" s="4">
        <f t="shared" si="4"/>
        <v>2.9905428237682052E-3</v>
      </c>
      <c r="C78" s="3">
        <v>2908699.1228977712</v>
      </c>
      <c r="E78" s="2">
        <f t="shared" si="5"/>
        <v>1.2015938435182338E-2</v>
      </c>
    </row>
    <row r="79" spans="1:5" x14ac:dyDescent="0.35">
      <c r="A79" s="7"/>
      <c r="B79" s="4">
        <f t="shared" si="4"/>
        <v>4.3531471054831794E-3</v>
      </c>
      <c r="C79" s="3">
        <v>2921361.1180653353</v>
      </c>
      <c r="E79" s="2">
        <f t="shared" si="5"/>
        <v>1.7526618085993428E-2</v>
      </c>
    </row>
    <row r="80" spans="1:5" x14ac:dyDescent="0.35">
      <c r="A80" s="7">
        <v>2013</v>
      </c>
      <c r="B80" s="4">
        <f t="shared" si="4"/>
        <v>4.1413633485312129E-3</v>
      </c>
      <c r="C80" s="3">
        <v>2933459.535927515</v>
      </c>
      <c r="E80" s="2">
        <f t="shared" si="5"/>
        <v>1.6668643142860651E-2</v>
      </c>
    </row>
    <row r="81" spans="1:14" x14ac:dyDescent="0.35">
      <c r="A81" s="7"/>
      <c r="B81" s="4">
        <f t="shared" si="4"/>
        <v>1.0600076734053276E-2</v>
      </c>
      <c r="C81" s="3">
        <v>2964554.4321045871</v>
      </c>
      <c r="E81" s="2">
        <f t="shared" si="5"/>
        <v>4.3079253489417768E-2</v>
      </c>
    </row>
    <row r="82" spans="1:14" x14ac:dyDescent="0.35">
      <c r="A82" s="7"/>
      <c r="B82" s="4">
        <f t="shared" si="4"/>
        <v>4.5909751263382148E-3</v>
      </c>
      <c r="C82" s="3">
        <v>2978164.6277630548</v>
      </c>
      <c r="E82" s="2">
        <f t="shared" si="5"/>
        <v>1.8490750322155858E-2</v>
      </c>
    </row>
    <row r="83" spans="1:14" x14ac:dyDescent="0.35">
      <c r="A83" s="7"/>
      <c r="B83" s="4">
        <f t="shared" si="4"/>
        <v>1.2879818011360955E-2</v>
      </c>
      <c r="C83" s="3">
        <v>3016522.8461765158</v>
      </c>
      <c r="E83" s="2">
        <f t="shared" si="5"/>
        <v>5.2523184354077435E-2</v>
      </c>
    </row>
    <row r="84" spans="1:14" x14ac:dyDescent="0.35">
      <c r="A84" s="7">
        <v>2014</v>
      </c>
      <c r="B84" s="4">
        <f t="shared" si="4"/>
        <v>-3.9009293603420314E-3</v>
      </c>
      <c r="C84" s="3">
        <v>3004755.6036397233</v>
      </c>
      <c r="E84" s="2">
        <f t="shared" si="5"/>
        <v>-1.5512651156224355E-2</v>
      </c>
      <c r="F84" s="10"/>
      <c r="G84" s="9"/>
    </row>
    <row r="85" spans="1:14" x14ac:dyDescent="0.35">
      <c r="A85" s="7"/>
      <c r="B85" s="4">
        <f t="shared" si="4"/>
        <v>2.4420422558701915E-3</v>
      </c>
      <c r="C85" s="3">
        <v>3012093.3437923742</v>
      </c>
      <c r="E85" s="2">
        <f t="shared" si="5"/>
        <v>9.8040087344852811E-3</v>
      </c>
    </row>
    <row r="86" spans="1:14" x14ac:dyDescent="0.35">
      <c r="A86" s="7"/>
      <c r="B86" s="4">
        <f t="shared" si="4"/>
        <v>6.3747393735047453E-3</v>
      </c>
      <c r="C86" s="3">
        <v>3031294.6538277194</v>
      </c>
      <c r="E86" s="2">
        <f t="shared" si="5"/>
        <v>2.5743819166728299E-2</v>
      </c>
    </row>
    <row r="87" spans="1:14" x14ac:dyDescent="0.35">
      <c r="A87" s="7"/>
      <c r="B87" s="4">
        <f t="shared" si="4"/>
        <v>1.0860248839266617E-2</v>
      </c>
      <c r="C87" s="3">
        <v>3064215.268073427</v>
      </c>
      <c r="E87" s="2">
        <f t="shared" si="5"/>
        <v>4.4153802945603449E-2</v>
      </c>
    </row>
    <row r="88" spans="1:14" x14ac:dyDescent="0.35">
      <c r="A88" s="7">
        <v>2015</v>
      </c>
      <c r="B88" s="4">
        <f t="shared" si="4"/>
        <v>4.2523942008494409E-3</v>
      </c>
      <c r="C88" s="3">
        <v>3077245.519309537</v>
      </c>
      <c r="E88" s="2">
        <f t="shared" si="5"/>
        <v>1.7118381850759201E-2</v>
      </c>
    </row>
    <row r="89" spans="1:14" x14ac:dyDescent="0.35">
      <c r="A89" s="7"/>
      <c r="B89" s="4">
        <f t="shared" si="4"/>
        <v>-5.9114274612812601E-3</v>
      </c>
      <c r="C89" s="3">
        <v>3059054.6056415858</v>
      </c>
      <c r="E89" s="2">
        <f t="shared" si="5"/>
        <v>-2.3436865074924484E-2</v>
      </c>
      <c r="N89" s="8"/>
    </row>
    <row r="90" spans="1:14" x14ac:dyDescent="0.35">
      <c r="A90" s="7"/>
      <c r="B90" s="4">
        <f t="shared" si="4"/>
        <v>-1.0029534782740601E-4</v>
      </c>
      <c r="C90" s="3">
        <v>3058747.7966958899</v>
      </c>
      <c r="E90" s="2">
        <f t="shared" si="5"/>
        <v>-4.0112104040423979E-4</v>
      </c>
    </row>
    <row r="91" spans="1:14" x14ac:dyDescent="0.35">
      <c r="A91" s="7"/>
      <c r="B91" s="4">
        <f t="shared" si="4"/>
        <v>1.0307405333938036E-3</v>
      </c>
      <c r="C91" s="3">
        <v>3061900.5720313732</v>
      </c>
      <c r="E91" s="2">
        <f t="shared" si="5"/>
        <v>4.1293410713292289E-3</v>
      </c>
    </row>
    <row r="92" spans="1:14" x14ac:dyDescent="0.35">
      <c r="A92" s="7">
        <v>2016</v>
      </c>
      <c r="B92" s="4">
        <f t="shared" si="4"/>
        <v>-2.4541804192879102E-3</v>
      </c>
      <c r="C92" s="3">
        <v>3054386.1156016872</v>
      </c>
      <c r="E92" s="2">
        <f t="shared" si="5"/>
        <v>-9.780642757822311E-3</v>
      </c>
    </row>
    <row r="93" spans="1:14" x14ac:dyDescent="0.35">
      <c r="A93" s="7"/>
      <c r="B93" s="4">
        <f t="shared" si="4"/>
        <v>7.8887853552405129E-3</v>
      </c>
      <c r="C93" s="3">
        <v>3078481.5120596956</v>
      </c>
      <c r="E93" s="2">
        <f t="shared" si="5"/>
        <v>3.1930506669232139E-2</v>
      </c>
    </row>
    <row r="94" spans="1:14" x14ac:dyDescent="0.35">
      <c r="A94" s="7"/>
      <c r="B94" s="4">
        <f t="shared" si="4"/>
        <v>2.2319116617552925E-3</v>
      </c>
      <c r="C94" s="3">
        <v>3085352.4108469598</v>
      </c>
      <c r="E94" s="2">
        <f t="shared" si="5"/>
        <v>8.9575797222749554E-3</v>
      </c>
    </row>
    <row r="95" spans="1:14" x14ac:dyDescent="0.35">
      <c r="A95" s="7"/>
      <c r="B95" s="4">
        <f t="shared" si="4"/>
        <v>7.416226867711373E-4</v>
      </c>
      <c r="C95" s="3">
        <v>3087640.5781915281</v>
      </c>
      <c r="E95" s="2">
        <f t="shared" si="5"/>
        <v>2.9697924042266788E-3</v>
      </c>
    </row>
    <row r="96" spans="1:14" x14ac:dyDescent="0.35">
      <c r="A96" s="7">
        <v>2017</v>
      </c>
      <c r="B96" s="4">
        <f t="shared" si="4"/>
        <v>-6.4313069431998215E-4</v>
      </c>
      <c r="C96" s="3">
        <v>3085654.8217626652</v>
      </c>
      <c r="E96" s="2">
        <f t="shared" si="5"/>
        <v>-2.5700421386082306E-3</v>
      </c>
    </row>
    <row r="97" spans="1:13" x14ac:dyDescent="0.35">
      <c r="A97" s="7"/>
      <c r="B97" s="4">
        <f t="shared" si="4"/>
        <v>7.3102510956379874E-3</v>
      </c>
      <c r="C97" s="3">
        <v>3108211.7333042165</v>
      </c>
      <c r="E97" s="2">
        <f t="shared" si="5"/>
        <v>2.9563208497428883E-2</v>
      </c>
    </row>
    <row r="98" spans="1:13" x14ac:dyDescent="0.35">
      <c r="A98" s="7"/>
      <c r="B98" s="4">
        <f t="shared" si="4"/>
        <v>6.9224568003167786E-3</v>
      </c>
      <c r="C98" s="3">
        <v>3129728.1947542527</v>
      </c>
      <c r="E98" s="2">
        <f t="shared" si="5"/>
        <v>2.7978678854367223E-2</v>
      </c>
    </row>
    <row r="99" spans="1:13" x14ac:dyDescent="0.35">
      <c r="A99" s="7"/>
      <c r="B99" s="4">
        <f t="shared" si="4"/>
        <v>8.5036410506786897E-3</v>
      </c>
      <c r="C99" s="3">
        <v>3156342.2799086315</v>
      </c>
      <c r="D99" s="6"/>
      <c r="E99" s="2">
        <f t="shared" si="5"/>
        <v>3.4450900556583397E-2</v>
      </c>
      <c r="F99" s="6"/>
      <c r="G99" s="6"/>
      <c r="H99" s="6"/>
      <c r="I99" s="6"/>
      <c r="J99" s="6"/>
      <c r="K99" s="6"/>
      <c r="L99" s="6"/>
      <c r="M99" s="6"/>
    </row>
    <row r="100" spans="1:13" x14ac:dyDescent="0.35">
      <c r="A100">
        <v>2018</v>
      </c>
      <c r="B100" s="4">
        <f t="shared" ref="B100:B112" si="6">(1+E100)^(1/4)-1</f>
        <v>-6.8310561297731942E-3</v>
      </c>
      <c r="C100" s="3">
        <v>3134781.1286297995</v>
      </c>
      <c r="E100" s="2">
        <f t="shared" si="5"/>
        <v>-2.7045517413784914E-2</v>
      </c>
    </row>
    <row r="101" spans="1:13" x14ac:dyDescent="0.35">
      <c r="B101" s="4">
        <f t="shared" si="6"/>
        <v>-1.3119261097106483E-3</v>
      </c>
      <c r="C101" s="3">
        <v>3130668.5274189217</v>
      </c>
      <c r="E101" s="2">
        <f t="shared" ref="E101:E112" si="7">POWER(C101/C100,4)-1</f>
        <v>-5.2373865672633579E-3</v>
      </c>
    </row>
    <row r="102" spans="1:13" x14ac:dyDescent="0.35">
      <c r="B102" s="4">
        <f t="shared" si="6"/>
        <v>6.4895733356229446E-3</v>
      </c>
      <c r="C102" s="3">
        <v>3150985.2304171333</v>
      </c>
      <c r="E102" s="2">
        <f t="shared" si="7"/>
        <v>2.6212075710754901E-2</v>
      </c>
    </row>
    <row r="103" spans="1:13" x14ac:dyDescent="0.35">
      <c r="B103" s="4">
        <f t="shared" si="6"/>
        <v>3.40712809053767E-3</v>
      </c>
      <c r="C103" s="3">
        <v>3161721.0407085568</v>
      </c>
      <c r="E103" s="2">
        <f t="shared" si="7"/>
        <v>1.3698321834743732E-2</v>
      </c>
    </row>
    <row r="104" spans="1:13" x14ac:dyDescent="0.35">
      <c r="A104">
        <v>2019</v>
      </c>
      <c r="B104" s="4">
        <f t="shared" si="6"/>
        <v>-8.0396254426896574E-3</v>
      </c>
      <c r="C104" s="3">
        <v>3136301.9877869892</v>
      </c>
      <c r="E104" s="2">
        <f t="shared" si="7"/>
        <v>-3.1772762712773961E-2</v>
      </c>
    </row>
    <row r="105" spans="1:13" x14ac:dyDescent="0.35">
      <c r="B105" s="4">
        <f t="shared" si="6"/>
        <v>8.1671072462909944E-3</v>
      </c>
      <c r="C105" s="3">
        <v>3161916.5024780012</v>
      </c>
      <c r="E105" s="2">
        <f t="shared" si="7"/>
        <v>3.3070822316722204E-2</v>
      </c>
    </row>
    <row r="106" spans="1:13" x14ac:dyDescent="0.35">
      <c r="B106" s="4">
        <f t="shared" si="6"/>
        <v>-2.0957912915383625E-3</v>
      </c>
      <c r="C106" s="3">
        <v>3155289.7854075362</v>
      </c>
      <c r="E106" s="2">
        <f t="shared" si="7"/>
        <v>-8.3568479217558389E-3</v>
      </c>
    </row>
    <row r="107" spans="1:13" x14ac:dyDescent="0.35">
      <c r="B107" s="4">
        <f t="shared" si="6"/>
        <v>-3.6287930349054864E-3</v>
      </c>
      <c r="C107" s="3">
        <v>3143839.8918111408</v>
      </c>
      <c r="E107" s="2">
        <f t="shared" si="7"/>
        <v>-1.4436354270683682E-2</v>
      </c>
      <c r="F107" s="2"/>
      <c r="G107" s="5"/>
      <c r="H107" s="5"/>
      <c r="I107" s="5"/>
    </row>
    <row r="108" spans="1:13" x14ac:dyDescent="0.35">
      <c r="A108">
        <v>2020</v>
      </c>
      <c r="B108" s="4">
        <f t="shared" si="6"/>
        <v>-4.4062974576011271E-3</v>
      </c>
      <c r="C108" s="3">
        <v>3129987.1980887484</v>
      </c>
      <c r="E108" s="2">
        <f t="shared" si="7"/>
        <v>-1.7509038910855534E-2</v>
      </c>
    </row>
    <row r="109" spans="1:13" x14ac:dyDescent="0.35">
      <c r="B109" s="4">
        <f t="shared" si="6"/>
        <v>-0.16626354021440526</v>
      </c>
      <c r="C109" s="3">
        <v>2609584.4457087461</v>
      </c>
      <c r="E109" s="2">
        <f t="shared" si="7"/>
        <v>-0.51681307314900504</v>
      </c>
    </row>
    <row r="110" spans="1:13" x14ac:dyDescent="0.35">
      <c r="B110" s="4">
        <f t="shared" si="6"/>
        <v>0.13729306470105573</v>
      </c>
      <c r="C110" s="3">
        <v>2967862.2918563057</v>
      </c>
      <c r="E110" s="2">
        <f t="shared" si="7"/>
        <v>0.67297543150760175</v>
      </c>
    </row>
    <row r="111" spans="1:13" x14ac:dyDescent="0.35">
      <c r="B111" s="4">
        <f t="shared" si="6"/>
        <v>1.4305117902277065E-2</v>
      </c>
      <c r="C111" s="3">
        <v>3010317.9118590322</v>
      </c>
      <c r="E111" s="2">
        <f t="shared" si="7"/>
        <v>5.8460041265565144E-2</v>
      </c>
    </row>
    <row r="112" spans="1:13" x14ac:dyDescent="0.35">
      <c r="A112">
        <v>2021</v>
      </c>
      <c r="B112" s="4">
        <f t="shared" si="6"/>
        <v>1.1343259172673203E-2</v>
      </c>
      <c r="C112" s="3">
        <v>3044464.7281253897</v>
      </c>
      <c r="E112" s="2">
        <f t="shared" si="7"/>
        <v>4.6150908545735891E-2</v>
      </c>
    </row>
    <row r="114" spans="1:3" x14ac:dyDescent="0.35">
      <c r="C114" s="2">
        <f>C112/C104-1</f>
        <v>-2.9282020678882748E-2</v>
      </c>
    </row>
    <row r="115" spans="1:3" x14ac:dyDescent="0.35">
      <c r="C115" s="2">
        <f>C112/C108-1</f>
        <v>-2.7323584587049088E-2</v>
      </c>
    </row>
    <row r="116" spans="1:3" x14ac:dyDescent="0.35">
      <c r="A116" t="s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tabSelected="1" zoomScale="64" zoomScaleNormal="64" workbookViewId="0">
      <pane xSplit="1" ySplit="4" topLeftCell="AE5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ColWidth="9.08984375" defaultRowHeight="14.5" x14ac:dyDescent="0.35"/>
  <cols>
    <col min="1" max="1" width="23.81640625" customWidth="1"/>
    <col min="4" max="4" width="13.7265625" bestFit="1" customWidth="1"/>
    <col min="39" max="39" width="9.453125" customWidth="1"/>
    <col min="43" max="49" width="9.54296875" bestFit="1" customWidth="1"/>
    <col min="50" max="50" width="9.54296875" customWidth="1"/>
  </cols>
  <sheetData>
    <row r="1" spans="1:56" ht="26" x14ac:dyDescent="0.6">
      <c r="A1" s="14" t="s">
        <v>142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</row>
    <row r="2" spans="1:56" x14ac:dyDescent="0.35">
      <c r="A2" s="64"/>
      <c r="B2" s="64" t="s">
        <v>143</v>
      </c>
      <c r="C2" s="64" t="s">
        <v>144</v>
      </c>
      <c r="D2" s="64" t="s">
        <v>145</v>
      </c>
      <c r="E2" s="64" t="s">
        <v>146</v>
      </c>
      <c r="F2" s="64" t="s">
        <v>147</v>
      </c>
      <c r="G2" s="64" t="s">
        <v>148</v>
      </c>
      <c r="H2" s="64" t="s">
        <v>149</v>
      </c>
      <c r="I2" s="64" t="s">
        <v>150</v>
      </c>
      <c r="J2" s="64" t="s">
        <v>151</v>
      </c>
      <c r="K2" s="64" t="s">
        <v>152</v>
      </c>
      <c r="L2" s="64" t="s">
        <v>153</v>
      </c>
      <c r="M2" s="64" t="s">
        <v>154</v>
      </c>
      <c r="N2" s="64" t="s">
        <v>155</v>
      </c>
      <c r="O2" s="64" t="s">
        <v>156</v>
      </c>
      <c r="P2" s="64" t="s">
        <v>157</v>
      </c>
      <c r="Q2" s="64" t="s">
        <v>158</v>
      </c>
      <c r="R2" s="64" t="s">
        <v>159</v>
      </c>
      <c r="S2" s="64" t="s">
        <v>160</v>
      </c>
      <c r="T2" s="64" t="s">
        <v>161</v>
      </c>
      <c r="U2" s="64" t="s">
        <v>162</v>
      </c>
      <c r="V2" s="64" t="s">
        <v>163</v>
      </c>
      <c r="W2" s="64" t="s">
        <v>164</v>
      </c>
      <c r="X2" s="64" t="s">
        <v>165</v>
      </c>
      <c r="Y2" s="64" t="s">
        <v>166</v>
      </c>
      <c r="Z2" s="64" t="s">
        <v>167</v>
      </c>
      <c r="AA2" s="64" t="s">
        <v>168</v>
      </c>
      <c r="AB2" s="64" t="s">
        <v>169</v>
      </c>
      <c r="AC2" s="64" t="s">
        <v>170</v>
      </c>
      <c r="AD2" s="64" t="s">
        <v>171</v>
      </c>
      <c r="AE2" s="64" t="s">
        <v>172</v>
      </c>
      <c r="AF2" s="64" t="s">
        <v>173</v>
      </c>
      <c r="AG2" s="64" t="s">
        <v>174</v>
      </c>
      <c r="AH2" s="64" t="s">
        <v>175</v>
      </c>
      <c r="AI2" s="64" t="s">
        <v>176</v>
      </c>
      <c r="AJ2" s="64" t="s">
        <v>173</v>
      </c>
      <c r="AK2" s="64" t="s">
        <v>177</v>
      </c>
      <c r="AL2" s="64" t="s">
        <v>175</v>
      </c>
      <c r="AM2" s="64" t="s">
        <v>176</v>
      </c>
      <c r="AN2" t="s">
        <v>173</v>
      </c>
      <c r="AO2" t="s">
        <v>177</v>
      </c>
      <c r="AP2" t="s">
        <v>178</v>
      </c>
      <c r="AQ2" t="s">
        <v>179</v>
      </c>
      <c r="AR2" t="s">
        <v>180</v>
      </c>
      <c r="AS2" t="s">
        <v>181</v>
      </c>
      <c r="AT2" t="s">
        <v>182</v>
      </c>
      <c r="AU2" t="s">
        <v>183</v>
      </c>
      <c r="AV2" t="s">
        <v>184</v>
      </c>
      <c r="AW2" t="s">
        <v>185</v>
      </c>
      <c r="AX2" t="s">
        <v>186</v>
      </c>
      <c r="AY2" t="s">
        <v>187</v>
      </c>
      <c r="AZ2" t="s">
        <v>188</v>
      </c>
      <c r="BA2" t="s">
        <v>189</v>
      </c>
    </row>
    <row r="3" spans="1:56" x14ac:dyDescent="0.3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56" x14ac:dyDescent="0.35">
      <c r="A4" s="64"/>
      <c r="B4" s="96">
        <v>2008</v>
      </c>
      <c r="C4" s="96"/>
      <c r="D4" s="96"/>
      <c r="E4" s="96"/>
      <c r="F4" s="96">
        <v>2009</v>
      </c>
      <c r="G4" s="96"/>
      <c r="H4" s="96"/>
      <c r="I4" s="96"/>
      <c r="J4" s="96">
        <v>2010</v>
      </c>
      <c r="K4" s="96"/>
      <c r="L4" s="96"/>
      <c r="M4" s="96"/>
      <c r="N4" s="96">
        <v>2011</v>
      </c>
      <c r="O4" s="96"/>
      <c r="P4" s="96"/>
      <c r="Q4" s="96"/>
      <c r="R4" s="96">
        <v>2012</v>
      </c>
      <c r="S4" s="96"/>
      <c r="T4" s="96"/>
      <c r="U4" s="96"/>
      <c r="V4" s="96">
        <v>2013</v>
      </c>
      <c r="W4" s="96"/>
      <c r="X4" s="96"/>
      <c r="Y4" s="96"/>
      <c r="Z4" s="96">
        <v>2014</v>
      </c>
      <c r="AA4" s="96"/>
      <c r="AB4" s="96"/>
      <c r="AC4" s="96"/>
      <c r="AD4" s="96">
        <v>2015</v>
      </c>
      <c r="AE4" s="96"/>
      <c r="AF4" s="96"/>
      <c r="AG4" s="96"/>
      <c r="AH4" s="96">
        <v>2016</v>
      </c>
      <c r="AI4" s="96"/>
      <c r="AJ4" s="64"/>
      <c r="AK4" s="64"/>
      <c r="AL4" s="96">
        <v>2017</v>
      </c>
      <c r="AM4" s="64"/>
      <c r="AN4" s="64"/>
      <c r="AP4">
        <v>2018</v>
      </c>
      <c r="AT4">
        <v>2019</v>
      </c>
      <c r="AX4">
        <v>2020</v>
      </c>
      <c r="BB4" t="s">
        <v>14</v>
      </c>
    </row>
    <row r="5" spans="1:56" x14ac:dyDescent="0.35">
      <c r="A5" s="64" t="s">
        <v>190</v>
      </c>
      <c r="B5" s="64">
        <v>100</v>
      </c>
      <c r="C5" s="64">
        <v>100</v>
      </c>
      <c r="D5" s="64">
        <v>100</v>
      </c>
      <c r="E5" s="64">
        <v>100</v>
      </c>
      <c r="F5" s="64">
        <v>100</v>
      </c>
      <c r="G5" s="64">
        <v>100</v>
      </c>
      <c r="H5" s="64">
        <v>100</v>
      </c>
      <c r="I5" s="64">
        <v>100</v>
      </c>
      <c r="J5" s="64">
        <v>100</v>
      </c>
      <c r="K5" s="64">
        <v>100</v>
      </c>
      <c r="L5" s="64">
        <v>100</v>
      </c>
      <c r="M5" s="64">
        <v>100</v>
      </c>
      <c r="N5" s="64">
        <v>100</v>
      </c>
      <c r="O5" s="64">
        <v>100</v>
      </c>
      <c r="P5" s="64">
        <v>100</v>
      </c>
      <c r="Q5" s="64">
        <v>100</v>
      </c>
      <c r="R5" s="64">
        <v>100</v>
      </c>
      <c r="S5" s="64">
        <v>100</v>
      </c>
      <c r="T5" s="64">
        <v>100</v>
      </c>
      <c r="U5" s="64">
        <v>100</v>
      </c>
      <c r="V5" s="64">
        <v>100</v>
      </c>
      <c r="W5" s="64">
        <v>100</v>
      </c>
      <c r="X5" s="64">
        <v>100</v>
      </c>
      <c r="Y5" s="64">
        <v>100</v>
      </c>
      <c r="Z5" s="64">
        <v>100</v>
      </c>
      <c r="AA5" s="64">
        <v>100</v>
      </c>
      <c r="AB5" s="64">
        <v>100</v>
      </c>
      <c r="AC5" s="64">
        <v>100</v>
      </c>
      <c r="AD5" s="64">
        <v>100</v>
      </c>
      <c r="AE5" s="64">
        <v>100</v>
      </c>
      <c r="AF5" s="64">
        <v>100</v>
      </c>
      <c r="AG5" s="64">
        <v>100</v>
      </c>
      <c r="AH5" s="64">
        <v>100</v>
      </c>
      <c r="AI5" s="64">
        <v>100</v>
      </c>
      <c r="AJ5" s="64">
        <v>100</v>
      </c>
      <c r="AK5" s="64">
        <v>100</v>
      </c>
      <c r="AL5" s="64">
        <v>100</v>
      </c>
      <c r="AM5" s="64">
        <v>100</v>
      </c>
      <c r="AN5" s="64">
        <v>100</v>
      </c>
      <c r="AO5" s="64">
        <v>100</v>
      </c>
      <c r="AP5" s="64">
        <v>100</v>
      </c>
      <c r="AQ5" s="64">
        <v>100</v>
      </c>
      <c r="AR5" s="64">
        <v>100</v>
      </c>
      <c r="AS5" s="64">
        <v>100</v>
      </c>
      <c r="AT5" s="64">
        <v>100</v>
      </c>
      <c r="AU5" s="64">
        <v>100</v>
      </c>
      <c r="AV5" s="64">
        <v>100</v>
      </c>
      <c r="AW5" s="64">
        <v>100</v>
      </c>
      <c r="AX5" s="64">
        <v>100</v>
      </c>
      <c r="AY5" s="64">
        <v>100</v>
      </c>
      <c r="AZ5" s="64">
        <v>100</v>
      </c>
      <c r="BA5" s="64">
        <v>100</v>
      </c>
      <c r="BB5" s="64">
        <v>100</v>
      </c>
    </row>
    <row r="6" spans="1:56" x14ac:dyDescent="0.35">
      <c r="A6" s="64" t="s">
        <v>130</v>
      </c>
      <c r="B6" s="64">
        <f t="shared" ref="B6:AZ7" si="0">B9/$B9*100</f>
        <v>100</v>
      </c>
      <c r="C6" s="64">
        <f t="shared" si="0"/>
        <v>99.416815108848652</v>
      </c>
      <c r="D6" s="64">
        <f t="shared" si="0"/>
        <v>97.350246847756537</v>
      </c>
      <c r="E6" s="64">
        <f t="shared" si="0"/>
        <v>99.330945876920779</v>
      </c>
      <c r="F6" s="64">
        <f t="shared" si="0"/>
        <v>96.2185343855908</v>
      </c>
      <c r="G6" s="64">
        <f t="shared" si="0"/>
        <v>96.232680515496199</v>
      </c>
      <c r="H6" s="64">
        <f t="shared" si="0"/>
        <v>88.353741857368234</v>
      </c>
      <c r="I6" s="64">
        <f t="shared" si="0"/>
        <v>89.340634413858382</v>
      </c>
      <c r="J6" s="64">
        <f t="shared" si="0"/>
        <v>87.449184837843433</v>
      </c>
      <c r="K6" s="64">
        <f t="shared" si="0"/>
        <v>85.561578809686523</v>
      </c>
      <c r="L6" s="64">
        <f t="shared" si="0"/>
        <v>85.949646539455145</v>
      </c>
      <c r="M6" s="64">
        <f t="shared" si="0"/>
        <v>89.451281491554468</v>
      </c>
      <c r="N6" s="64">
        <f t="shared" si="0"/>
        <v>90.266583579055677</v>
      </c>
      <c r="O6" s="64">
        <f t="shared" si="0"/>
        <v>86.78327389149419</v>
      </c>
      <c r="P6" s="64">
        <f t="shared" si="0"/>
        <v>86.978848883819651</v>
      </c>
      <c r="Q6" s="64">
        <f t="shared" si="0"/>
        <v>90.435989131074436</v>
      </c>
      <c r="R6" s="64">
        <f t="shared" si="0"/>
        <v>87.038078201555123</v>
      </c>
      <c r="S6" s="64">
        <f t="shared" si="0"/>
        <v>84.369510125257108</v>
      </c>
      <c r="T6" s="64">
        <f t="shared" si="0"/>
        <v>86.807381316404928</v>
      </c>
      <c r="U6" s="64">
        <f t="shared" si="0"/>
        <v>85.941372172286847</v>
      </c>
      <c r="V6" s="64">
        <f t="shared" si="0"/>
        <v>87.917187617573433</v>
      </c>
      <c r="W6" s="64">
        <f t="shared" si="0"/>
        <v>87.047456711501241</v>
      </c>
      <c r="X6" s="64">
        <f t="shared" si="0"/>
        <v>84.224105122238726</v>
      </c>
      <c r="Y6" s="64">
        <f t="shared" si="0"/>
        <v>83.661493886692256</v>
      </c>
      <c r="Z6" s="64">
        <f t="shared" si="0"/>
        <v>85.453145914671609</v>
      </c>
      <c r="AA6" s="64">
        <f t="shared" si="0"/>
        <v>82.633087453494696</v>
      </c>
      <c r="AB6" s="64">
        <f t="shared" si="0"/>
        <v>82.43761318187552</v>
      </c>
      <c r="AC6" s="64">
        <f t="shared" si="0"/>
        <v>82.859318444856072</v>
      </c>
      <c r="AD6" s="64">
        <f t="shared" si="0"/>
        <v>84.241728153874433</v>
      </c>
      <c r="AE6" s="64">
        <f t="shared" si="0"/>
        <v>83.17301641925809</v>
      </c>
      <c r="AF6" s="64">
        <f t="shared" si="0"/>
        <v>84.037614692946661</v>
      </c>
      <c r="AG6" s="64">
        <f t="shared" si="0"/>
        <v>82.325790419829019</v>
      </c>
      <c r="AH6" s="64">
        <f t="shared" si="0"/>
        <v>77.89904614213404</v>
      </c>
      <c r="AI6" s="64">
        <f t="shared" si="0"/>
        <v>81.06420748790822</v>
      </c>
      <c r="AJ6" s="64">
        <f t="shared" si="0"/>
        <v>79.721997543334012</v>
      </c>
      <c r="AK6" s="64">
        <f t="shared" si="0"/>
        <v>81.815294299576252</v>
      </c>
      <c r="AL6" s="64">
        <f t="shared" si="0"/>
        <v>84.77134258550295</v>
      </c>
      <c r="AM6" s="64">
        <f t="shared" si="0"/>
        <v>85.22514883289027</v>
      </c>
      <c r="AN6" s="64">
        <f t="shared" si="0"/>
        <v>82.840993010741542</v>
      </c>
      <c r="AO6" s="64">
        <f t="shared" si="0"/>
        <v>84.811385238996365</v>
      </c>
      <c r="AP6" s="64">
        <f t="shared" si="0"/>
        <v>87.577199886306516</v>
      </c>
      <c r="AQ6" s="64">
        <f t="shared" si="0"/>
        <v>82.606470401255166</v>
      </c>
      <c r="AR6" s="64">
        <f t="shared" si="0"/>
        <v>81.399108296164371</v>
      </c>
      <c r="AS6" s="64">
        <f t="shared" si="0"/>
        <v>83.654271705079822</v>
      </c>
      <c r="AT6" s="64">
        <f t="shared" si="0"/>
        <v>84.312355198127747</v>
      </c>
      <c r="AU6" s="64">
        <f t="shared" si="0"/>
        <v>84.752922859375502</v>
      </c>
      <c r="AV6" s="93">
        <f t="shared" si="0"/>
        <v>83.355667649783555</v>
      </c>
      <c r="AW6" s="93">
        <f t="shared" si="0"/>
        <v>81.484922853490474</v>
      </c>
      <c r="AX6" s="93">
        <f t="shared" si="0"/>
        <v>80.795764240113527</v>
      </c>
      <c r="AY6" s="93">
        <f t="shared" si="0"/>
        <v>68.953950549984228</v>
      </c>
      <c r="AZ6" s="93">
        <f t="shared" si="0"/>
        <v>69.132443726935051</v>
      </c>
      <c r="BA6" s="93">
        <f>BA9/$B9*100</f>
        <v>70.60253283028473</v>
      </c>
      <c r="BB6" s="93">
        <f>BB9/$B9*100</f>
        <v>70.923609729753466</v>
      </c>
      <c r="BD6" s="2"/>
    </row>
    <row r="7" spans="1:56" x14ac:dyDescent="0.35">
      <c r="A7" s="84" t="s">
        <v>191</v>
      </c>
      <c r="B7" s="64">
        <f t="shared" si="0"/>
        <v>100</v>
      </c>
      <c r="C7" s="64">
        <f t="shared" si="0"/>
        <v>101.29045841176602</v>
      </c>
      <c r="D7" s="64">
        <f t="shared" si="0"/>
        <v>101.35248623208383</v>
      </c>
      <c r="E7" s="64">
        <f t="shared" si="0"/>
        <v>102.79954680739314</v>
      </c>
      <c r="F7" s="64">
        <f t="shared" si="0"/>
        <v>102.08981354763935</v>
      </c>
      <c r="G7" s="64">
        <f t="shared" si="0"/>
        <v>99.989936415360958</v>
      </c>
      <c r="H7" s="64">
        <f t="shared" si="0"/>
        <v>97.062774634476995</v>
      </c>
      <c r="I7" s="64">
        <f t="shared" si="0"/>
        <v>98.055786597880527</v>
      </c>
      <c r="J7" s="64">
        <f t="shared" si="0"/>
        <v>96.953685508968192</v>
      </c>
      <c r="K7" s="64">
        <f t="shared" si="0"/>
        <v>97.370001165657712</v>
      </c>
      <c r="L7" s="64">
        <f t="shared" si="0"/>
        <v>95.997939798541495</v>
      </c>
      <c r="M7" s="64">
        <f t="shared" si="0"/>
        <v>97.429314561209921</v>
      </c>
      <c r="N7" s="64">
        <f t="shared" si="0"/>
        <v>97.333815860156122</v>
      </c>
      <c r="O7" s="64">
        <f t="shared" si="0"/>
        <v>98.078216981383235</v>
      </c>
      <c r="P7" s="64">
        <f t="shared" si="0"/>
        <v>99.639476202806577</v>
      </c>
      <c r="Q7" s="64">
        <f t="shared" si="0"/>
        <v>100.81612132438585</v>
      </c>
      <c r="R7" s="64">
        <f t="shared" si="0"/>
        <v>100.9735199927176</v>
      </c>
      <c r="S7" s="64">
        <f t="shared" si="0"/>
        <v>101.80329218931115</v>
      </c>
      <c r="T7" s="64">
        <f t="shared" si="0"/>
        <v>103.26461176692013</v>
      </c>
      <c r="U7" s="64">
        <f t="shared" si="0"/>
        <v>103.10657335297077</v>
      </c>
      <c r="V7" s="64">
        <f t="shared" si="0"/>
        <v>103.04823632702815</v>
      </c>
      <c r="W7" s="64">
        <f t="shared" si="0"/>
        <v>104.27751224370314</v>
      </c>
      <c r="X7" s="64">
        <f t="shared" si="0"/>
        <v>107.55432398604306</v>
      </c>
      <c r="Y7" s="64">
        <f t="shared" si="0"/>
        <v>108.7938547693162</v>
      </c>
      <c r="Z7" s="64">
        <f t="shared" si="0"/>
        <v>107.49753074048454</v>
      </c>
      <c r="AA7" s="64">
        <f t="shared" si="0"/>
        <v>108.30061470991473</v>
      </c>
      <c r="AB7" s="64">
        <f t="shared" si="0"/>
        <v>108.51521509221004</v>
      </c>
      <c r="AC7" s="64">
        <f t="shared" si="0"/>
        <v>110.09019488257019</v>
      </c>
      <c r="AD7" s="64">
        <f t="shared" si="0"/>
        <v>110.98763023895444</v>
      </c>
      <c r="AE7" s="64">
        <f t="shared" si="0"/>
        <v>112.77360212222796</v>
      </c>
      <c r="AF7" s="64">
        <f t="shared" si="0"/>
        <v>114.0163146529942</v>
      </c>
      <c r="AG7" s="64">
        <f t="shared" si="0"/>
        <v>115.84791208937834</v>
      </c>
      <c r="AH7" s="64">
        <f t="shared" si="0"/>
        <v>113.81899635296018</v>
      </c>
      <c r="AI7" s="64">
        <f t="shared" si="0"/>
        <v>112.22979438293666</v>
      </c>
      <c r="AJ7" s="64">
        <f t="shared" si="0"/>
        <v>114.79408497046846</v>
      </c>
      <c r="AK7" s="64">
        <f t="shared" si="0"/>
        <v>116.34539525200569</v>
      </c>
      <c r="AL7" s="64">
        <f t="shared" si="0"/>
        <v>117.00436297854178</v>
      </c>
      <c r="AM7" s="64">
        <f t="shared" si="0"/>
        <v>116.01361553174337</v>
      </c>
      <c r="AN7" s="64">
        <f t="shared" si="0"/>
        <v>117.1680347357039</v>
      </c>
      <c r="AO7" s="64">
        <f t="shared" si="0"/>
        <v>116.66306410295245</v>
      </c>
      <c r="AP7" s="64">
        <f t="shared" si="0"/>
        <v>117.86457330252131</v>
      </c>
      <c r="AQ7" s="64">
        <f t="shared" si="0"/>
        <v>117.98810159677228</v>
      </c>
      <c r="AR7" s="64">
        <f t="shared" si="0"/>
        <v>118.94345722391586</v>
      </c>
      <c r="AS7" s="64">
        <f t="shared" si="0"/>
        <v>119.76292947575151</v>
      </c>
      <c r="AT7" s="64">
        <f t="shared" si="0"/>
        <v>117.72538538707438</v>
      </c>
      <c r="AU7" s="64">
        <f t="shared" si="0"/>
        <v>117.82247705533555</v>
      </c>
      <c r="AV7" s="64">
        <f t="shared" si="0"/>
        <v>118.56724133985051</v>
      </c>
      <c r="AW7" s="64">
        <f t="shared" si="0"/>
        <v>119.25484243171496</v>
      </c>
      <c r="AX7" s="64">
        <f t="shared" si="0"/>
        <v>119.06693000797375</v>
      </c>
      <c r="AY7" s="64">
        <f t="shared" si="0"/>
        <v>102.96882345922246</v>
      </c>
      <c r="AZ7" s="64">
        <f t="shared" si="0"/>
        <v>107.34060786972086</v>
      </c>
      <c r="BA7" s="64">
        <f t="shared" ref="BA7:BT7" si="1">BA10/$B10*100</f>
        <v>109.78773655447557</v>
      </c>
      <c r="BB7" s="64">
        <f>BB10/$B10*100</f>
        <v>109.50397149841442</v>
      </c>
      <c r="BD7" s="2"/>
    </row>
    <row r="8" spans="1:56" x14ac:dyDescent="0.35">
      <c r="A8" s="64"/>
      <c r="B8" s="96"/>
      <c r="C8" s="96"/>
      <c r="D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64"/>
      <c r="AK8" s="64"/>
      <c r="AL8" s="64"/>
      <c r="AM8" s="64"/>
      <c r="AX8" s="97"/>
      <c r="AY8" s="97"/>
      <c r="AZ8" s="97"/>
      <c r="BA8" s="97"/>
    </row>
    <row r="9" spans="1:56" x14ac:dyDescent="0.35">
      <c r="A9" s="64" t="s">
        <v>130</v>
      </c>
      <c r="B9" s="64">
        <v>2111.2997571693186</v>
      </c>
      <c r="C9" s="64">
        <v>2098.986975978592</v>
      </c>
      <c r="D9" s="64">
        <v>2055.355525300416</v>
      </c>
      <c r="E9" s="64">
        <v>2097.1740190934156</v>
      </c>
      <c r="F9" s="64">
        <v>2031.461682834856</v>
      </c>
      <c r="G9" s="64">
        <v>2031.7603500411974</v>
      </c>
      <c r="H9" s="64">
        <v>1865.412337284622</v>
      </c>
      <c r="I9" s="64">
        <v>1886.2485974333208</v>
      </c>
      <c r="J9" s="64">
        <v>1846.3144271279368</v>
      </c>
      <c r="K9" s="64">
        <v>1806.4614056391467</v>
      </c>
      <c r="L9" s="64">
        <v>1814.6546786754043</v>
      </c>
      <c r="M9" s="64">
        <v>1888.5846889160332</v>
      </c>
      <c r="N9" s="64">
        <v>1905.7981599096424</v>
      </c>
      <c r="O9" s="64">
        <v>1832.2550509347013</v>
      </c>
      <c r="P9" s="64">
        <v>1836.3842252727527</v>
      </c>
      <c r="Q9" s="64">
        <v>1909.3748189180458</v>
      </c>
      <c r="R9" s="64">
        <v>1837.6347337142749</v>
      </c>
      <c r="S9" s="64">
        <v>1781.2932623994971</v>
      </c>
      <c r="T9" s="64">
        <v>1832.7640309383016</v>
      </c>
      <c r="U9" s="64">
        <v>1814.4799819814725</v>
      </c>
      <c r="V9" s="64">
        <v>1856.195368679922</v>
      </c>
      <c r="W9" s="64">
        <v>1837.8327421719932</v>
      </c>
      <c r="X9" s="64">
        <v>1778.2233269238577</v>
      </c>
      <c r="Y9" s="64">
        <v>1766.3449172739579</v>
      </c>
      <c r="Z9" s="64">
        <v>1804.1720621900051</v>
      </c>
      <c r="AA9" s="64">
        <v>1744.6321747471441</v>
      </c>
      <c r="AB9" s="64">
        <v>1740.5051269251198</v>
      </c>
      <c r="AC9" s="64">
        <v>1749.4085891183986</v>
      </c>
      <c r="AD9" s="64">
        <v>1778.5954019479886</v>
      </c>
      <c r="AE9" s="64">
        <v>1756.0316936901934</v>
      </c>
      <c r="AF9" s="64">
        <v>1774.2859549430705</v>
      </c>
      <c r="AG9" s="64">
        <v>1738.144213221572</v>
      </c>
      <c r="AH9" s="64">
        <v>1644.6823720360915</v>
      </c>
      <c r="AI9" s="64">
        <v>1711.508415843439</v>
      </c>
      <c r="AJ9" s="64">
        <v>1683.1703405429412</v>
      </c>
      <c r="AK9" s="64">
        <v>1727.3661098743169</v>
      </c>
      <c r="AL9" s="64">
        <v>1789.777150156895</v>
      </c>
      <c r="AM9" s="64">
        <v>1799.3583603560028</v>
      </c>
      <c r="AN9" s="64">
        <v>1749.0216842724385</v>
      </c>
      <c r="AO9" s="64">
        <v>1790.6225706028654</v>
      </c>
      <c r="AP9" s="64">
        <v>1849.0172085352781</v>
      </c>
      <c r="AQ9" s="64">
        <v>1744.0702089878453</v>
      </c>
      <c r="AR9" s="64">
        <v>1718.5791757949089</v>
      </c>
      <c r="AS9" s="64">
        <v>1766.1924353711122</v>
      </c>
      <c r="AT9" s="64">
        <v>1780.0865505618044</v>
      </c>
      <c r="AU9" s="64">
        <v>1789.3882545238948</v>
      </c>
      <c r="AV9" s="64">
        <v>1759.8880086767444</v>
      </c>
      <c r="AW9" s="64">
        <v>1720.3909783353508</v>
      </c>
      <c r="AX9" s="98">
        <v>1705.8407742046122</v>
      </c>
      <c r="AY9" s="98">
        <v>1455.824590520469</v>
      </c>
      <c r="AZ9" s="98">
        <v>1459.5931165319957</v>
      </c>
      <c r="BA9" s="98">
        <v>1490.6311042011901</v>
      </c>
      <c r="BB9" s="99">
        <v>1497.41</v>
      </c>
    </row>
    <row r="10" spans="1:56" x14ac:dyDescent="0.35">
      <c r="A10" s="84" t="s">
        <v>191</v>
      </c>
      <c r="B10" s="64">
        <f t="shared" ref="B10:BA10" si="2">B11-B9</f>
        <v>12326.440598727917</v>
      </c>
      <c r="C10" s="64">
        <f t="shared" si="2"/>
        <v>12485.508188305545</v>
      </c>
      <c r="D10" s="64">
        <f t="shared" si="2"/>
        <v>12493.154010731705</v>
      </c>
      <c r="E10" s="64">
        <f t="shared" si="2"/>
        <v>12671.525072974817</v>
      </c>
      <c r="F10" s="64">
        <f t="shared" si="2"/>
        <v>12584.040224301851</v>
      </c>
      <c r="G10" s="64">
        <f t="shared" si="2"/>
        <v>12325.200116945283</v>
      </c>
      <c r="H10" s="64">
        <f t="shared" si="2"/>
        <v>11964.385258795955</v>
      </c>
      <c r="I10" s="64">
        <f t="shared" si="2"/>
        <v>12086.788288603153</v>
      </c>
      <c r="J10" s="64">
        <f t="shared" si="2"/>
        <v>11950.93845254044</v>
      </c>
      <c r="K10" s="64">
        <f t="shared" si="2"/>
        <v>12002.255354665478</v>
      </c>
      <c r="L10" s="64">
        <f t="shared" si="2"/>
        <v>11833.129025269804</v>
      </c>
      <c r="M10" s="64">
        <f t="shared" si="2"/>
        <v>12009.56658513531</v>
      </c>
      <c r="N10" s="64">
        <f t="shared" si="2"/>
        <v>11997.794994477357</v>
      </c>
      <c r="O10" s="64">
        <f t="shared" si="2"/>
        <v>12089.553156501681</v>
      </c>
      <c r="P10" s="64">
        <f t="shared" si="2"/>
        <v>12282.000847022591</v>
      </c>
      <c r="Q10" s="64">
        <f t="shared" si="2"/>
        <v>12427.039308991889</v>
      </c>
      <c r="R10" s="64">
        <f t="shared" si="2"/>
        <v>12446.440962346993</v>
      </c>
      <c r="S10" s="64">
        <f t="shared" si="2"/>
        <v>12548.722339264856</v>
      </c>
      <c r="T10" s="64">
        <f t="shared" si="2"/>
        <v>12728.851028956407</v>
      </c>
      <c r="U10" s="64">
        <f t="shared" si="2"/>
        <v>12709.370517737769</v>
      </c>
      <c r="V10" s="64">
        <f t="shared" si="2"/>
        <v>12702.179638887888</v>
      </c>
      <c r="W10" s="64">
        <f t="shared" si="2"/>
        <v>12853.705604551298</v>
      </c>
      <c r="X10" s="64">
        <f t="shared" si="2"/>
        <v>13257.61985750297</v>
      </c>
      <c r="Y10" s="64">
        <f t="shared" si="2"/>
        <v>13410.409883206079</v>
      </c>
      <c r="Z10" s="64">
        <f t="shared" si="2"/>
        <v>13250.619271825108</v>
      </c>
      <c r="AA10" s="64">
        <f t="shared" si="2"/>
        <v>13349.610940274828</v>
      </c>
      <c r="AB10" s="64">
        <f t="shared" si="2"/>
        <v>13376.063528923103</v>
      </c>
      <c r="AC10" s="64">
        <f t="shared" si="2"/>
        <v>13570.202477223815</v>
      </c>
      <c r="AD10" s="64">
        <f t="shared" si="2"/>
        <v>13680.824313340503</v>
      </c>
      <c r="AE10" s="64">
        <f t="shared" si="2"/>
        <v>13900.971076642194</v>
      </c>
      <c r="AF10" s="64">
        <f t="shared" si="2"/>
        <v>14054.153298560044</v>
      </c>
      <c r="AG10" s="64">
        <f t="shared" si="2"/>
        <v>14279.924068563758</v>
      </c>
      <c r="AH10" s="64">
        <f t="shared" si="2"/>
        <v>14029.83097551593</v>
      </c>
      <c r="AI10" s="64">
        <f t="shared" si="2"/>
        <v>13833.938938687168</v>
      </c>
      <c r="AJ10" s="64">
        <f t="shared" si="2"/>
        <v>14150.024694738046</v>
      </c>
      <c r="AK10" s="64">
        <f t="shared" si="2"/>
        <v>14341.246035093693</v>
      </c>
      <c r="AL10" s="64">
        <f t="shared" si="2"/>
        <v>14422.47330046995</v>
      </c>
      <c r="AM10" s="64">
        <f t="shared" si="2"/>
        <v>14300.349404956931</v>
      </c>
      <c r="AN10" s="64">
        <f t="shared" si="2"/>
        <v>14442.648202393433</v>
      </c>
      <c r="AO10" s="64">
        <f t="shared" si="2"/>
        <v>14380.403297306304</v>
      </c>
      <c r="AP10" s="64">
        <f t="shared" si="2"/>
        <v>14528.506615079412</v>
      </c>
      <c r="AQ10" s="64">
        <f t="shared" si="2"/>
        <v>14543.733256892881</v>
      </c>
      <c r="AR10" s="64">
        <f t="shared" si="2"/>
        <v>14661.494600779337</v>
      </c>
      <c r="AS10" s="64">
        <f t="shared" si="2"/>
        <v>14762.506361124919</v>
      </c>
      <c r="AT10" s="64">
        <f t="shared" si="2"/>
        <v>14511.349699361239</v>
      </c>
      <c r="AU10" s="64">
        <f t="shared" si="2"/>
        <v>14523.317646175765</v>
      </c>
      <c r="AV10" s="64">
        <f t="shared" si="2"/>
        <v>14615.120573307044</v>
      </c>
      <c r="AW10" s="64">
        <f t="shared" si="2"/>
        <v>14699.87731345192</v>
      </c>
      <c r="AX10" s="100">
        <f t="shared" si="2"/>
        <v>14676.714400161829</v>
      </c>
      <c r="AY10" s="100">
        <f t="shared" si="2"/>
        <v>12692.390858910074</v>
      </c>
      <c r="AZ10" s="100">
        <f t="shared" si="2"/>
        <v>13231.276267374606</v>
      </c>
      <c r="BA10" s="100">
        <f t="shared" si="2"/>
        <v>13532.920131075329</v>
      </c>
      <c r="BB10" s="101">
        <f>BB11-BB9</f>
        <v>13497.942000000001</v>
      </c>
    </row>
    <row r="11" spans="1:56" x14ac:dyDescent="0.35">
      <c r="A11" s="64" t="s">
        <v>106</v>
      </c>
      <c r="B11" s="64">
        <v>14437.740355897236</v>
      </c>
      <c r="C11" s="64">
        <v>14584.495164284137</v>
      </c>
      <c r="D11" s="64">
        <v>14548.509536032121</v>
      </c>
      <c r="E11" s="64">
        <v>14768.699092068233</v>
      </c>
      <c r="F11" s="64">
        <v>14615.501907136706</v>
      </c>
      <c r="G11" s="64">
        <v>14356.96046698648</v>
      </c>
      <c r="H11" s="64">
        <v>13829.797596080578</v>
      </c>
      <c r="I11" s="64">
        <v>13973.036886036474</v>
      </c>
      <c r="J11" s="64">
        <v>13797.252879668376</v>
      </c>
      <c r="K11" s="64">
        <v>13808.716760304625</v>
      </c>
      <c r="L11" s="64">
        <v>13647.783703945208</v>
      </c>
      <c r="M11" s="64">
        <v>13898.151274051343</v>
      </c>
      <c r="N11" s="64">
        <v>13903.593154386999</v>
      </c>
      <c r="O11" s="64">
        <v>13921.808207436383</v>
      </c>
      <c r="P11" s="64">
        <v>14118.385072295345</v>
      </c>
      <c r="Q11" s="64">
        <v>14336.414127909935</v>
      </c>
      <c r="R11" s="64">
        <v>14284.075696061267</v>
      </c>
      <c r="S11" s="64">
        <v>14330.015601664352</v>
      </c>
      <c r="T11" s="64">
        <v>14561.61505989471</v>
      </c>
      <c r="U11" s="64">
        <v>14523.850499719241</v>
      </c>
      <c r="V11" s="64">
        <v>14558.375007567811</v>
      </c>
      <c r="W11" s="64">
        <v>14691.538346723291</v>
      </c>
      <c r="X11" s="64">
        <v>15035.843184426829</v>
      </c>
      <c r="Y11" s="64">
        <v>15176.754800480037</v>
      </c>
      <c r="Z11" s="64">
        <v>15054.791334015114</v>
      </c>
      <c r="AA11" s="64">
        <v>15094.243115021973</v>
      </c>
      <c r="AB11" s="64">
        <v>15116.568655848223</v>
      </c>
      <c r="AC11" s="64">
        <v>15319.611066342213</v>
      </c>
      <c r="AD11" s="64">
        <v>15459.419715288492</v>
      </c>
      <c r="AE11" s="64">
        <v>15657.002770332387</v>
      </c>
      <c r="AF11" s="64">
        <v>15828.439253503115</v>
      </c>
      <c r="AG11" s="64">
        <v>16018.06828178533</v>
      </c>
      <c r="AH11" s="64">
        <v>15674.513347552022</v>
      </c>
      <c r="AI11" s="64">
        <v>15545.447354530606</v>
      </c>
      <c r="AJ11" s="64">
        <v>15833.195035280987</v>
      </c>
      <c r="AK11" s="64">
        <v>16068.61214496801</v>
      </c>
      <c r="AL11" s="64">
        <v>16212.250450626845</v>
      </c>
      <c r="AM11" s="64">
        <v>16099.707765312933</v>
      </c>
      <c r="AN11" s="64">
        <v>16191.669886665872</v>
      </c>
      <c r="AO11" s="64">
        <v>16171.025867909169</v>
      </c>
      <c r="AP11" s="64">
        <v>16377.523823614691</v>
      </c>
      <c r="AQ11" s="64">
        <v>16287.803465880726</v>
      </c>
      <c r="AR11" s="64">
        <v>16380.073776574245</v>
      </c>
      <c r="AS11" s="64">
        <v>16528.698796496032</v>
      </c>
      <c r="AT11" s="64">
        <v>16291.436249923043</v>
      </c>
      <c r="AU11" s="64">
        <v>16312.705900699659</v>
      </c>
      <c r="AV11" s="64">
        <v>16375.008581983788</v>
      </c>
      <c r="AW11" s="64">
        <v>16420.26829178727</v>
      </c>
      <c r="AX11" s="98">
        <v>16382.555174366442</v>
      </c>
      <c r="AY11" s="98">
        <v>14148.215449430543</v>
      </c>
      <c r="AZ11" s="98">
        <v>14690.869383906602</v>
      </c>
      <c r="BA11" s="98">
        <v>15023.551235276518</v>
      </c>
      <c r="BB11" s="99">
        <v>14995.352000000001</v>
      </c>
    </row>
    <row r="12" spans="1:56" x14ac:dyDescent="0.35">
      <c r="A12" s="64"/>
      <c r="B12" s="2">
        <f t="shared" ref="B12:AZ12" si="3">B9/B11</f>
        <v>0.146234778097179</v>
      </c>
      <c r="C12" s="2">
        <f t="shared" si="3"/>
        <v>0.1439190696925037</v>
      </c>
      <c r="D12" s="2">
        <f t="shared" si="3"/>
        <v>0.14127602007682927</v>
      </c>
      <c r="E12" s="2">
        <f t="shared" si="3"/>
        <v>0.14200126944286762</v>
      </c>
      <c r="F12" s="2">
        <f t="shared" si="3"/>
        <v>0.13899363126509526</v>
      </c>
      <c r="G12" s="2">
        <f t="shared" si="3"/>
        <v>0.14151744407969824</v>
      </c>
      <c r="H12" s="2">
        <f t="shared" si="3"/>
        <v>0.13488356024915996</v>
      </c>
      <c r="I12" s="2">
        <f t="shared" si="3"/>
        <v>0.13499202877781605</v>
      </c>
      <c r="J12" s="2">
        <f t="shared" si="3"/>
        <v>0.13381753913118927</v>
      </c>
      <c r="K12" s="2">
        <f t="shared" si="3"/>
        <v>0.13082036781521295</v>
      </c>
      <c r="L12" s="2">
        <f t="shared" si="3"/>
        <v>0.13296332342597403</v>
      </c>
      <c r="M12" s="2">
        <f t="shared" si="3"/>
        <v>0.13588747536819021</v>
      </c>
      <c r="N12" s="2">
        <f t="shared" si="3"/>
        <v>0.13707234804323271</v>
      </c>
      <c r="O12" s="2">
        <f t="shared" si="3"/>
        <v>0.13161042183845026</v>
      </c>
      <c r="P12" s="2">
        <f t="shared" si="3"/>
        <v>0.13007041640168243</v>
      </c>
      <c r="Q12" s="2">
        <f t="shared" si="3"/>
        <v>0.13318357030443903</v>
      </c>
      <c r="R12" s="2">
        <f t="shared" si="3"/>
        <v>0.12864918758593458</v>
      </c>
      <c r="S12" s="2">
        <f t="shared" si="3"/>
        <v>0.12430504696677439</v>
      </c>
      <c r="T12" s="2">
        <f t="shared" si="3"/>
        <v>0.12586268922779462</v>
      </c>
      <c r="U12" s="2">
        <f t="shared" si="3"/>
        <v>0.1249310561284384</v>
      </c>
      <c r="V12" s="2">
        <f t="shared" si="3"/>
        <v>0.12750017551512616</v>
      </c>
      <c r="W12" s="2">
        <f t="shared" si="3"/>
        <v>0.12509464283445115</v>
      </c>
      <c r="X12" s="2">
        <f t="shared" si="3"/>
        <v>0.11826562069798842</v>
      </c>
      <c r="Y12" s="2">
        <f t="shared" si="3"/>
        <v>0.11638488863364181</v>
      </c>
      <c r="Z12" s="2">
        <f t="shared" si="3"/>
        <v>0.11984038982417648</v>
      </c>
      <c r="AA12" s="2">
        <f t="shared" si="3"/>
        <v>0.11558262056948487</v>
      </c>
      <c r="AB12" s="2">
        <f t="shared" si="3"/>
        <v>0.11513890265379517</v>
      </c>
      <c r="AC12" s="2">
        <f t="shared" si="3"/>
        <v>0.11419406025012724</v>
      </c>
      <c r="AD12" s="2">
        <f t="shared" si="3"/>
        <v>0.11504929904898425</v>
      </c>
      <c r="AE12" s="2">
        <f t="shared" si="3"/>
        <v>0.11215631238295515</v>
      </c>
      <c r="AF12" s="2">
        <f t="shared" si="3"/>
        <v>0.11209481405757611</v>
      </c>
      <c r="AG12" s="2">
        <f t="shared" si="3"/>
        <v>0.10851147483233498</v>
      </c>
      <c r="AH12" s="2">
        <f t="shared" si="3"/>
        <v>0.10492717289324653</v>
      </c>
      <c r="AI12" s="2">
        <f t="shared" si="3"/>
        <v>0.11009708352617029</v>
      </c>
      <c r="AJ12" s="2">
        <f t="shared" si="3"/>
        <v>0.10630642373774501</v>
      </c>
      <c r="AK12" s="2">
        <f t="shared" si="3"/>
        <v>0.10749939660565226</v>
      </c>
      <c r="AL12" s="2">
        <f t="shared" si="3"/>
        <v>0.11039658902430127</v>
      </c>
      <c r="AM12" s="2">
        <f t="shared" si="3"/>
        <v>0.11176341748467931</v>
      </c>
      <c r="AN12" s="2">
        <f t="shared" si="3"/>
        <v>0.10801984579198894</v>
      </c>
      <c r="AO12" s="2">
        <f t="shared" si="3"/>
        <v>0.11073030154235872</v>
      </c>
      <c r="AP12" s="2">
        <f t="shared" si="3"/>
        <v>0.11289968058963755</v>
      </c>
      <c r="AQ12" s="2">
        <f t="shared" si="3"/>
        <v>0.10707829405243494</v>
      </c>
      <c r="AR12" s="2">
        <f t="shared" si="3"/>
        <v>0.10491889104020478</v>
      </c>
      <c r="AS12" s="2">
        <f t="shared" si="3"/>
        <v>0.10685610870624206</v>
      </c>
      <c r="AT12" s="2">
        <f t="shared" si="3"/>
        <v>0.10926516994904076</v>
      </c>
      <c r="AU12" s="2">
        <f t="shared" si="3"/>
        <v>0.10969291455485305</v>
      </c>
      <c r="AV12" s="2">
        <f t="shared" si="3"/>
        <v>0.10747402053963008</v>
      </c>
      <c r="AW12" s="2">
        <f t="shared" si="3"/>
        <v>0.10477240370035966</v>
      </c>
      <c r="AX12" s="102">
        <f t="shared" si="3"/>
        <v>0.10412544050965369</v>
      </c>
      <c r="AY12" s="102">
        <f t="shared" si="3"/>
        <v>0.10289810723649002</v>
      </c>
      <c r="AZ12" s="102">
        <f t="shared" si="3"/>
        <v>9.9353760379282618E-2</v>
      </c>
      <c r="BA12" s="102">
        <f>BA9/BA11</f>
        <v>9.9219623966207621E-2</v>
      </c>
      <c r="BB12" s="103">
        <f>BB9/BB11</f>
        <v>9.9858276084482708E-2</v>
      </c>
    </row>
    <row r="13" spans="1:56" s="1" customFormat="1" x14ac:dyDescent="0.35">
      <c r="A13" s="62" t="s">
        <v>141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104"/>
      <c r="AW13" s="88"/>
      <c r="AX13" s="8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52" zoomScaleNormal="52" workbookViewId="0">
      <pane xSplit="2" ySplit="2" topLeftCell="C3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1" max="1" width="21" style="25" customWidth="1"/>
    <col min="2" max="7" width="8.7265625" style="25"/>
    <col min="8" max="8" width="8.453125" style="25" bestFit="1" customWidth="1"/>
    <col min="9" max="9" width="40.08984375" style="25" bestFit="1" customWidth="1"/>
    <col min="10" max="10" width="40.453125" style="25" bestFit="1" customWidth="1"/>
    <col min="11" max="16384" width="8.7265625" style="25"/>
  </cols>
  <sheetData>
    <row r="1" spans="1:10" ht="26" x14ac:dyDescent="0.6">
      <c r="A1" s="14" t="s">
        <v>217</v>
      </c>
    </row>
    <row r="2" spans="1:10" x14ac:dyDescent="0.35">
      <c r="C2" s="105" t="s">
        <v>109</v>
      </c>
      <c r="D2" s="25" t="s">
        <v>18</v>
      </c>
      <c r="E2" s="25" t="s">
        <v>17</v>
      </c>
      <c r="F2" s="25" t="s">
        <v>16</v>
      </c>
      <c r="G2" s="25" t="s">
        <v>15</v>
      </c>
      <c r="H2" s="25" t="s">
        <v>192</v>
      </c>
      <c r="I2" s="25" t="s">
        <v>193</v>
      </c>
    </row>
    <row r="3" spans="1:10" ht="87" x14ac:dyDescent="0.35">
      <c r="A3" s="25" t="s">
        <v>194</v>
      </c>
      <c r="B3" s="106" t="s">
        <v>195</v>
      </c>
      <c r="C3" s="107">
        <v>3.5264444316965395</v>
      </c>
      <c r="D3" s="108">
        <v>3.5140960208338048</v>
      </c>
      <c r="E3" s="108">
        <v>3.4258509970528586</v>
      </c>
      <c r="F3" s="108">
        <v>3.480943060815501</v>
      </c>
      <c r="G3" s="108">
        <v>3.4383045318890799</v>
      </c>
      <c r="H3" s="108">
        <v>3.5411649999999999</v>
      </c>
      <c r="I3" s="29">
        <f>H3/D3-1</f>
        <v>7.7029708367992722E-3</v>
      </c>
    </row>
    <row r="4" spans="1:10" ht="58" x14ac:dyDescent="0.35">
      <c r="B4" s="106" t="s">
        <v>196</v>
      </c>
      <c r="C4" s="107">
        <v>3.7498281360025212</v>
      </c>
      <c r="D4" s="108">
        <v>3.671641094993622</v>
      </c>
      <c r="E4" s="108">
        <v>3.2566949879580527</v>
      </c>
      <c r="F4" s="108">
        <v>3.3083796288289964</v>
      </c>
      <c r="G4" s="108">
        <v>3.4388816353665987</v>
      </c>
      <c r="H4" s="108">
        <v>3.4382320000000002</v>
      </c>
      <c r="I4" s="29">
        <f t="shared" ref="I4:I8" si="0">H4/D4-1</f>
        <v>-6.3570781826110756E-2</v>
      </c>
    </row>
    <row r="5" spans="1:10" ht="58" x14ac:dyDescent="0.35">
      <c r="B5" s="106" t="s">
        <v>197</v>
      </c>
      <c r="C5" s="107">
        <v>2.3440946060938015</v>
      </c>
      <c r="D5" s="108">
        <v>2.3665009470187321</v>
      </c>
      <c r="E5" s="108">
        <v>1.9555468010971662</v>
      </c>
      <c r="F5" s="108">
        <v>1.9768976485563716</v>
      </c>
      <c r="G5" s="108">
        <v>2.0681316652927881</v>
      </c>
      <c r="H5" s="108">
        <v>2.0616859999999999</v>
      </c>
      <c r="I5" s="29">
        <f t="shared" si="0"/>
        <v>-0.1288040672042543</v>
      </c>
    </row>
    <row r="6" spans="1:10" ht="58" x14ac:dyDescent="0.35">
      <c r="B6" s="106" t="s">
        <v>198</v>
      </c>
      <c r="C6" s="107">
        <v>2.5978070569286449</v>
      </c>
      <c r="D6" s="108">
        <v>2.5974031089185154</v>
      </c>
      <c r="E6" s="108">
        <v>2.1862436526289373</v>
      </c>
      <c r="F6" s="108">
        <v>2.3018276711450678</v>
      </c>
      <c r="G6" s="108">
        <v>2.2851782684886408</v>
      </c>
      <c r="H6" s="108">
        <v>2.251115</v>
      </c>
      <c r="I6" s="29">
        <f t="shared" si="0"/>
        <v>-0.13332089567826078</v>
      </c>
      <c r="J6" s="109"/>
    </row>
    <row r="7" spans="1:10" x14ac:dyDescent="0.35">
      <c r="A7" s="25" t="s">
        <v>199</v>
      </c>
      <c r="B7" s="106" t="s">
        <v>200</v>
      </c>
      <c r="C7" s="107">
        <v>2.9180505590150938</v>
      </c>
      <c r="D7" s="108">
        <v>2.9206013235921175</v>
      </c>
      <c r="E7" s="108">
        <v>2.2802870018557191</v>
      </c>
      <c r="F7" s="108">
        <v>2.4561481963991998</v>
      </c>
      <c r="G7" s="108">
        <v>2.5211390249229217</v>
      </c>
      <c r="H7" s="108">
        <f>2690506/10^6</f>
        <v>2.6905060000000001</v>
      </c>
      <c r="I7" s="29">
        <f t="shared" si="0"/>
        <v>-7.8783544242566395E-2</v>
      </c>
    </row>
    <row r="8" spans="1:10" x14ac:dyDescent="0.35">
      <c r="A8" s="25" t="s">
        <v>69</v>
      </c>
      <c r="B8" s="25" t="s">
        <v>200</v>
      </c>
      <c r="C8" s="107">
        <v>1.285889042848454</v>
      </c>
      <c r="D8" s="108">
        <v>1.3157276169352805</v>
      </c>
      <c r="E8" s="108">
        <v>1.0051591300473217</v>
      </c>
      <c r="F8" s="108">
        <v>1.1207013689986063</v>
      </c>
      <c r="G8" s="108">
        <v>1.19673177879693</v>
      </c>
      <c r="H8" s="108">
        <f>1149067/10^6</f>
        <v>1.1490670000000001</v>
      </c>
      <c r="I8" s="29">
        <f t="shared" si="0"/>
        <v>-0.12666802367763808</v>
      </c>
    </row>
    <row r="9" spans="1:10" x14ac:dyDescent="0.35">
      <c r="D9" s="108"/>
      <c r="E9" s="108"/>
      <c r="F9" s="108"/>
      <c r="G9" s="108"/>
    </row>
    <row r="10" spans="1:10" x14ac:dyDescent="0.35">
      <c r="A10" s="25" t="s">
        <v>218</v>
      </c>
      <c r="H10" s="29"/>
    </row>
    <row r="11" spans="1:10" x14ac:dyDescent="0.35">
      <c r="H11" s="29"/>
    </row>
    <row r="12" spans="1:10" x14ac:dyDescent="0.35">
      <c r="H12" s="29"/>
    </row>
    <row r="13" spans="1:10" x14ac:dyDescent="0.35">
      <c r="H13" s="29"/>
    </row>
    <row r="14" spans="1:10" x14ac:dyDescent="0.35">
      <c r="H14" s="29"/>
    </row>
    <row r="15" spans="1:10" x14ac:dyDescent="0.35">
      <c r="H15" s="29"/>
    </row>
    <row r="16" spans="1:10" x14ac:dyDescent="0.35">
      <c r="H16" s="29"/>
    </row>
    <row r="17" spans="8:8" x14ac:dyDescent="0.35">
      <c r="H17" s="29"/>
    </row>
    <row r="18" spans="8:8" x14ac:dyDescent="0.35">
      <c r="H18" s="29"/>
    </row>
    <row r="19" spans="8:8" x14ac:dyDescent="0.35">
      <c r="H19" s="2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59" zoomScaleNormal="59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sheetData>
    <row r="1" spans="1:10" ht="26" x14ac:dyDescent="0.6">
      <c r="A1" s="14" t="s">
        <v>201</v>
      </c>
    </row>
    <row r="3" spans="1:10" s="110" customFormat="1" x14ac:dyDescent="0.35">
      <c r="B3" s="110" t="s">
        <v>18</v>
      </c>
      <c r="C3" s="110" t="s">
        <v>17</v>
      </c>
      <c r="D3" s="110" t="s">
        <v>16</v>
      </c>
      <c r="E3" s="110" t="s">
        <v>15</v>
      </c>
      <c r="F3" s="110" t="s">
        <v>14</v>
      </c>
      <c r="H3" s="110" t="s">
        <v>202</v>
      </c>
    </row>
    <row r="4" spans="1:10" x14ac:dyDescent="0.35">
      <c r="A4" s="111" t="s">
        <v>203</v>
      </c>
      <c r="B4" s="112">
        <f>370754/1000</f>
        <v>370.75400000000002</v>
      </c>
      <c r="C4" s="25">
        <v>344.476</v>
      </c>
      <c r="D4" s="25">
        <v>357.40499999999997</v>
      </c>
      <c r="E4" s="113">
        <v>358.81742276894983</v>
      </c>
      <c r="F4" s="114">
        <f>354675/1000</f>
        <v>354.67500000000001</v>
      </c>
      <c r="G4" s="29"/>
      <c r="H4" s="93">
        <f t="shared" ref="H4:H13" si="0">F4-E4</f>
        <v>-4.1424227689498139</v>
      </c>
      <c r="I4" s="115">
        <f t="shared" ref="I4:I13" si="1">(H4/E4)*100</f>
        <v>-1.1544653369903968</v>
      </c>
      <c r="J4" s="2"/>
    </row>
    <row r="5" spans="1:10" x14ac:dyDescent="0.35">
      <c r="A5" s="111" t="s">
        <v>204</v>
      </c>
      <c r="B5" s="116">
        <f>245764/1000</f>
        <v>245.76400000000001</v>
      </c>
      <c r="C5" s="25">
        <v>179.44300000000001</v>
      </c>
      <c r="D5" s="25">
        <v>196.91900000000001</v>
      </c>
      <c r="E5" s="113">
        <v>219.64426167574715</v>
      </c>
      <c r="F5" s="117">
        <f>213496/1000</f>
        <v>213.49600000000001</v>
      </c>
      <c r="G5" s="29"/>
      <c r="H5" s="93">
        <f t="shared" si="0"/>
        <v>-6.1482616757471362</v>
      </c>
      <c r="I5" s="115">
        <f t="shared" si="1"/>
        <v>-2.7991906680555996</v>
      </c>
      <c r="J5" s="2"/>
    </row>
    <row r="6" spans="1:10" x14ac:dyDescent="0.35">
      <c r="A6" s="111" t="s">
        <v>205</v>
      </c>
      <c r="B6" s="118">
        <f>101660/1000</f>
        <v>101.66</v>
      </c>
      <c r="C6" s="25">
        <v>89.882000000000005</v>
      </c>
      <c r="D6" s="25">
        <v>87.384</v>
      </c>
      <c r="E6" s="113">
        <v>80.558616647539992</v>
      </c>
      <c r="F6" s="117">
        <f>87500/1000</f>
        <v>87.5</v>
      </c>
      <c r="G6" s="29"/>
      <c r="H6" s="93">
        <f t="shared" si="0"/>
        <v>6.9413833524600079</v>
      </c>
      <c r="I6" s="115">
        <f t="shared" si="1"/>
        <v>8.6165622515961804</v>
      </c>
      <c r="J6" s="2"/>
    </row>
    <row r="7" spans="1:10" x14ac:dyDescent="0.35">
      <c r="A7" s="111" t="s">
        <v>206</v>
      </c>
      <c r="B7" s="118">
        <f>64442/1000</f>
        <v>64.441999999999993</v>
      </c>
      <c r="C7" s="25">
        <v>42.625</v>
      </c>
      <c r="D7" s="25">
        <v>58.835000000000001</v>
      </c>
      <c r="E7" s="113">
        <v>48.17813297882001</v>
      </c>
      <c r="F7" s="117">
        <f>45376/1000</f>
        <v>45.375999999999998</v>
      </c>
      <c r="G7" s="29"/>
      <c r="H7" s="93">
        <f t="shared" si="0"/>
        <v>-2.802132978820012</v>
      </c>
      <c r="I7" s="115">
        <f t="shared" si="1"/>
        <v>-5.8161925453854364</v>
      </c>
      <c r="J7" s="2"/>
    </row>
    <row r="8" spans="1:10" x14ac:dyDescent="0.35">
      <c r="A8" s="119" t="s">
        <v>207</v>
      </c>
      <c r="B8" s="118">
        <f>243647/1000</f>
        <v>243.64699999999999</v>
      </c>
      <c r="C8" s="25">
        <v>260.036</v>
      </c>
      <c r="D8" s="25">
        <v>199.60900000000001</v>
      </c>
      <c r="E8" s="113">
        <v>235.366463012135</v>
      </c>
      <c r="F8" s="120">
        <f>210516/1000</f>
        <v>210.51599999999999</v>
      </c>
      <c r="G8" s="29"/>
      <c r="H8" s="93">
        <f t="shared" si="0"/>
        <v>-24.850463012135009</v>
      </c>
      <c r="I8" s="115">
        <f t="shared" si="1"/>
        <v>-10.558200473469226</v>
      </c>
      <c r="J8" s="2"/>
    </row>
    <row r="9" spans="1:10" x14ac:dyDescent="0.35">
      <c r="A9" s="111" t="s">
        <v>208</v>
      </c>
      <c r="B9" s="118">
        <f>122787/1000</f>
        <v>122.78700000000001</v>
      </c>
      <c r="C9" s="25">
        <v>81.716999999999999</v>
      </c>
      <c r="D9" s="25">
        <v>102.011</v>
      </c>
      <c r="E9" s="113">
        <v>75.353441659809974</v>
      </c>
      <c r="F9" s="120">
        <f>92224/1000</f>
        <v>92.224000000000004</v>
      </c>
      <c r="G9" s="29"/>
      <c r="H9" s="93">
        <f t="shared" si="0"/>
        <v>16.87055834019003</v>
      </c>
      <c r="I9" s="115">
        <f t="shared" si="1"/>
        <v>22.388570407113871</v>
      </c>
      <c r="J9" s="2"/>
    </row>
    <row r="10" spans="1:10" x14ac:dyDescent="0.35">
      <c r="A10" s="111" t="s">
        <v>209</v>
      </c>
      <c r="B10" s="116">
        <f>238967/1000</f>
        <v>238.96700000000001</v>
      </c>
      <c r="C10" s="25">
        <v>176.745</v>
      </c>
      <c r="D10" s="25">
        <v>184.14599999999999</v>
      </c>
      <c r="E10" s="113">
        <v>205.55878200124994</v>
      </c>
      <c r="F10" s="120">
        <f>205432/1000</f>
        <v>205.43199999999999</v>
      </c>
      <c r="G10" s="29"/>
      <c r="H10" s="93">
        <f t="shared" si="0"/>
        <v>-0.12678200124994987</v>
      </c>
      <c r="I10" s="115">
        <f t="shared" si="1"/>
        <v>-6.1676762245642683E-2</v>
      </c>
      <c r="J10" s="2"/>
    </row>
    <row r="11" spans="1:10" x14ac:dyDescent="0.35">
      <c r="A11" s="111" t="s">
        <v>210</v>
      </c>
      <c r="B11" s="118">
        <f>117821/1000</f>
        <v>117.821</v>
      </c>
      <c r="C11" s="25">
        <v>128.23500000000001</v>
      </c>
      <c r="D11" s="25">
        <v>111.292</v>
      </c>
      <c r="E11" s="113">
        <v>122.56274671994002</v>
      </c>
      <c r="F11" s="120">
        <f>121805/1000</f>
        <v>121.80500000000001</v>
      </c>
      <c r="G11" s="29"/>
      <c r="H11" s="93">
        <f t="shared" si="0"/>
        <v>-0.75774671994001608</v>
      </c>
      <c r="I11" s="115">
        <f t="shared" si="1"/>
        <v>-0.61825207105670754</v>
      </c>
      <c r="J11" s="2"/>
    </row>
    <row r="12" spans="1:10" x14ac:dyDescent="0.35">
      <c r="A12" s="111" t="s">
        <v>211</v>
      </c>
      <c r="B12" s="118">
        <f>101189/1000</f>
        <v>101.18899999999999</v>
      </c>
      <c r="C12" s="25">
        <v>87.444000000000003</v>
      </c>
      <c r="D12" s="25">
        <v>87.113</v>
      </c>
      <c r="E12" s="113">
        <v>82.208356691140011</v>
      </c>
      <c r="F12" s="120">
        <f>81587/1000</f>
        <v>81.587000000000003</v>
      </c>
      <c r="G12" s="29"/>
      <c r="H12" s="93">
        <f t="shared" si="0"/>
        <v>-0.62135669114000791</v>
      </c>
      <c r="I12" s="115">
        <f t="shared" si="1"/>
        <v>-0.75583154334840819</v>
      </c>
      <c r="J12" s="2"/>
    </row>
    <row r="13" spans="1:10" x14ac:dyDescent="0.35">
      <c r="A13" s="111" t="s">
        <v>212</v>
      </c>
      <c r="B13" s="118">
        <f>77574/1000</f>
        <v>77.573999999999998</v>
      </c>
      <c r="C13" s="25">
        <v>52.08</v>
      </c>
      <c r="D13" s="25">
        <v>55.304000000000002</v>
      </c>
      <c r="E13" s="113">
        <v>85.724552013100009</v>
      </c>
      <c r="F13" s="120">
        <f>64868/1000</f>
        <v>64.867999999999995</v>
      </c>
      <c r="G13" s="29"/>
      <c r="H13" s="93">
        <f t="shared" si="0"/>
        <v>-20.856552013100014</v>
      </c>
      <c r="I13" s="115">
        <f t="shared" si="1"/>
        <v>-24.329729958708697</v>
      </c>
      <c r="J13" s="2"/>
    </row>
    <row r="14" spans="1:10" x14ac:dyDescent="0.35">
      <c r="B14" s="93">
        <f>SUM(B4:B13)</f>
        <v>1684.6050000000002</v>
      </c>
      <c r="C14" s="93">
        <f>SUM(C4:C13)</f>
        <v>1442.683</v>
      </c>
      <c r="D14" s="93">
        <f>SUM(D4:D13)</f>
        <v>1440.018</v>
      </c>
      <c r="E14" s="93">
        <f>SUM(E4:E13)</f>
        <v>1513.9727761684317</v>
      </c>
      <c r="F14" s="93">
        <f>SUM(F4:F13)</f>
        <v>1477.479</v>
      </c>
      <c r="G14" s="29"/>
    </row>
    <row r="16" spans="1:10" x14ac:dyDescent="0.35">
      <c r="A16" s="25" t="s">
        <v>218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="85" zoomScaleNormal="85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ColWidth="9.08984375" defaultRowHeight="14.5" x14ac:dyDescent="0.35"/>
  <cols>
    <col min="2" max="2" width="11.1796875" style="64" bestFit="1" customWidth="1"/>
    <col min="3" max="3" width="10.81640625" style="64" customWidth="1"/>
    <col min="4" max="4" width="10.81640625" style="2" customWidth="1"/>
  </cols>
  <sheetData>
    <row r="1" spans="1:6" ht="26" x14ac:dyDescent="0.6">
      <c r="A1" s="14" t="s">
        <v>213</v>
      </c>
    </row>
    <row r="2" spans="1:6" x14ac:dyDescent="0.35">
      <c r="E2" s="96"/>
      <c r="F2" s="64"/>
    </row>
    <row r="3" spans="1:6" x14ac:dyDescent="0.35">
      <c r="B3" s="64" t="s">
        <v>214</v>
      </c>
      <c r="E3" s="96"/>
      <c r="F3" s="84"/>
    </row>
    <row r="4" spans="1:6" x14ac:dyDescent="0.35">
      <c r="A4">
        <v>2010</v>
      </c>
      <c r="B4" s="64">
        <v>491000</v>
      </c>
      <c r="E4" s="96"/>
      <c r="F4" s="64"/>
    </row>
    <row r="5" spans="1:6" x14ac:dyDescent="0.35">
      <c r="B5" s="64">
        <v>497000</v>
      </c>
      <c r="C5" s="64">
        <f t="shared" ref="C5:C38" si="0">B5-B4</f>
        <v>6000</v>
      </c>
      <c r="D5" s="2">
        <f t="shared" ref="D5:D38" si="1">C5/B4</f>
        <v>1.2219959266802444E-2</v>
      </c>
      <c r="E5" s="96"/>
      <c r="F5" s="64"/>
    </row>
    <row r="6" spans="1:6" x14ac:dyDescent="0.35">
      <c r="B6" s="64">
        <v>505000</v>
      </c>
      <c r="C6" s="64">
        <f t="shared" si="0"/>
        <v>8000</v>
      </c>
      <c r="D6" s="2">
        <f t="shared" si="1"/>
        <v>1.6096579476861168E-2</v>
      </c>
      <c r="E6" s="96"/>
      <c r="F6" s="64"/>
    </row>
    <row r="7" spans="1:6" x14ac:dyDescent="0.35">
      <c r="B7" s="64">
        <v>504000</v>
      </c>
      <c r="C7" s="64">
        <f t="shared" si="0"/>
        <v>-1000</v>
      </c>
      <c r="D7" s="2">
        <f t="shared" si="1"/>
        <v>-1.9801980198019802E-3</v>
      </c>
      <c r="E7" s="96"/>
      <c r="F7" s="64"/>
    </row>
    <row r="8" spans="1:6" x14ac:dyDescent="0.35">
      <c r="A8">
        <v>2011</v>
      </c>
      <c r="B8" s="64">
        <v>511000</v>
      </c>
      <c r="C8" s="64">
        <f t="shared" si="0"/>
        <v>7000</v>
      </c>
      <c r="D8" s="2">
        <f t="shared" si="1"/>
        <v>1.3888888888888888E-2</v>
      </c>
      <c r="E8" s="96"/>
      <c r="F8" s="64"/>
    </row>
    <row r="9" spans="1:6" x14ac:dyDescent="0.35">
      <c r="B9" s="64">
        <v>517000</v>
      </c>
      <c r="C9" s="64">
        <f t="shared" si="0"/>
        <v>6000</v>
      </c>
      <c r="D9" s="2">
        <f t="shared" si="1"/>
        <v>1.1741682974559686E-2</v>
      </c>
      <c r="E9" s="96"/>
      <c r="F9" s="64"/>
    </row>
    <row r="10" spans="1:6" x14ac:dyDescent="0.35">
      <c r="B10" s="64">
        <v>519000</v>
      </c>
      <c r="C10" s="64">
        <f t="shared" si="0"/>
        <v>2000</v>
      </c>
      <c r="D10" s="2">
        <f t="shared" si="1"/>
        <v>3.8684719535783366E-3</v>
      </c>
      <c r="E10" s="96"/>
      <c r="F10" s="64"/>
    </row>
    <row r="11" spans="1:6" x14ac:dyDescent="0.35">
      <c r="B11" s="64">
        <v>518000</v>
      </c>
      <c r="C11" s="64">
        <f t="shared" si="0"/>
        <v>-1000</v>
      </c>
      <c r="D11" s="2">
        <f t="shared" si="1"/>
        <v>-1.9267822736030828E-3</v>
      </c>
      <c r="E11" s="96"/>
      <c r="F11" s="64"/>
    </row>
    <row r="12" spans="1:6" x14ac:dyDescent="0.35">
      <c r="A12">
        <v>2012</v>
      </c>
      <c r="B12" s="64">
        <v>523000</v>
      </c>
      <c r="C12" s="64">
        <f t="shared" si="0"/>
        <v>5000</v>
      </c>
      <c r="D12" s="2">
        <f t="shared" si="1"/>
        <v>9.6525096525096523E-3</v>
      </c>
      <c r="E12" s="96"/>
      <c r="F12" s="64"/>
    </row>
    <row r="13" spans="1:6" x14ac:dyDescent="0.35">
      <c r="B13" s="64">
        <v>534000</v>
      </c>
      <c r="C13" s="64">
        <f t="shared" si="0"/>
        <v>11000</v>
      </c>
      <c r="D13" s="2">
        <f t="shared" si="1"/>
        <v>2.1032504780114723E-2</v>
      </c>
      <c r="E13" s="96"/>
      <c r="F13" s="64"/>
    </row>
    <row r="14" spans="1:6" x14ac:dyDescent="0.35">
      <c r="B14" s="64">
        <v>518000</v>
      </c>
      <c r="C14" s="64">
        <f t="shared" si="0"/>
        <v>-16000</v>
      </c>
      <c r="D14" s="2">
        <f t="shared" si="1"/>
        <v>-2.9962546816479401E-2</v>
      </c>
      <c r="E14" s="96"/>
      <c r="F14" s="64"/>
    </row>
    <row r="15" spans="1:6" x14ac:dyDescent="0.35">
      <c r="B15" s="64">
        <v>515000</v>
      </c>
      <c r="C15" s="64">
        <f t="shared" si="0"/>
        <v>-3000</v>
      </c>
      <c r="D15" s="2">
        <f t="shared" si="1"/>
        <v>-5.7915057915057912E-3</v>
      </c>
      <c r="E15" s="96"/>
      <c r="F15" s="64"/>
    </row>
    <row r="16" spans="1:6" x14ac:dyDescent="0.35">
      <c r="A16">
        <v>2013</v>
      </c>
      <c r="B16" s="64">
        <v>515000</v>
      </c>
      <c r="C16" s="64">
        <f t="shared" si="0"/>
        <v>0</v>
      </c>
      <c r="D16" s="2">
        <f t="shared" si="1"/>
        <v>0</v>
      </c>
      <c r="E16" s="96"/>
      <c r="F16" s="64"/>
    </row>
    <row r="17" spans="1:15" x14ac:dyDescent="0.35">
      <c r="B17" s="64">
        <v>511000</v>
      </c>
      <c r="C17" s="64">
        <f t="shared" si="0"/>
        <v>-4000</v>
      </c>
      <c r="D17" s="2">
        <f t="shared" si="1"/>
        <v>-7.7669902912621356E-3</v>
      </c>
      <c r="E17" s="96"/>
      <c r="F17" s="64"/>
    </row>
    <row r="18" spans="1:15" x14ac:dyDescent="0.35">
      <c r="B18" s="64">
        <v>507000</v>
      </c>
      <c r="C18" s="64">
        <f t="shared" si="0"/>
        <v>-4000</v>
      </c>
      <c r="D18" s="2">
        <f t="shared" si="1"/>
        <v>-7.8277886497064575E-3</v>
      </c>
      <c r="E18" s="121"/>
      <c r="F18" s="64"/>
    </row>
    <row r="19" spans="1:15" x14ac:dyDescent="0.35">
      <c r="B19" s="64">
        <v>499000</v>
      </c>
      <c r="C19" s="64">
        <f t="shared" si="0"/>
        <v>-8000</v>
      </c>
      <c r="D19" s="2">
        <f t="shared" si="1"/>
        <v>-1.5779092702169626E-2</v>
      </c>
      <c r="E19" s="121"/>
      <c r="F19" s="64"/>
    </row>
    <row r="20" spans="1:15" x14ac:dyDescent="0.35">
      <c r="A20">
        <v>2014</v>
      </c>
      <c r="B20" s="64">
        <v>491000</v>
      </c>
      <c r="C20" s="64">
        <f t="shared" si="0"/>
        <v>-8000</v>
      </c>
      <c r="D20" s="2">
        <f t="shared" si="1"/>
        <v>-1.6032064128256512E-2</v>
      </c>
      <c r="E20" s="96"/>
      <c r="F20" s="64"/>
    </row>
    <row r="21" spans="1:15" x14ac:dyDescent="0.35">
      <c r="B21" s="64">
        <v>491000</v>
      </c>
      <c r="C21" s="64">
        <f t="shared" si="0"/>
        <v>0</v>
      </c>
      <c r="D21" s="2">
        <f t="shared" si="1"/>
        <v>0</v>
      </c>
      <c r="E21" s="121"/>
      <c r="F21" s="64"/>
    </row>
    <row r="22" spans="1:15" x14ac:dyDescent="0.35">
      <c r="B22" s="64">
        <v>498000</v>
      </c>
      <c r="C22" s="64">
        <f t="shared" si="0"/>
        <v>7000</v>
      </c>
      <c r="D22" s="2">
        <f t="shared" si="1"/>
        <v>1.4256619144602852E-2</v>
      </c>
      <c r="E22" s="121"/>
      <c r="F22" s="64"/>
    </row>
    <row r="23" spans="1:15" x14ac:dyDescent="0.35">
      <c r="B23" s="64">
        <v>491000</v>
      </c>
      <c r="C23" s="64">
        <f t="shared" si="0"/>
        <v>-7000</v>
      </c>
      <c r="D23" s="2">
        <f t="shared" si="1"/>
        <v>-1.4056224899598393E-2</v>
      </c>
      <c r="E23" s="121"/>
      <c r="F23" s="64"/>
    </row>
    <row r="24" spans="1:15" x14ac:dyDescent="0.35">
      <c r="A24">
        <v>2015</v>
      </c>
      <c r="B24" s="64">
        <v>490000</v>
      </c>
      <c r="C24" s="64">
        <f t="shared" si="0"/>
        <v>-1000</v>
      </c>
      <c r="D24" s="2">
        <f t="shared" si="1"/>
        <v>-2.0366598778004071E-3</v>
      </c>
      <c r="E24" s="96"/>
      <c r="F24" s="64"/>
      <c r="G24" s="64"/>
    </row>
    <row r="25" spans="1:15" x14ac:dyDescent="0.35">
      <c r="B25" s="64">
        <v>489000</v>
      </c>
      <c r="C25" s="64">
        <f t="shared" si="0"/>
        <v>-1000</v>
      </c>
      <c r="D25" s="2">
        <f t="shared" si="1"/>
        <v>-2.0408163265306124E-3</v>
      </c>
      <c r="E25" s="121"/>
      <c r="F25" s="64"/>
      <c r="G25" s="64"/>
    </row>
    <row r="26" spans="1:15" x14ac:dyDescent="0.35">
      <c r="B26" s="64">
        <v>476000</v>
      </c>
      <c r="C26" s="64">
        <f t="shared" si="0"/>
        <v>-13000</v>
      </c>
      <c r="D26" s="2">
        <f t="shared" si="1"/>
        <v>-2.6584867075664622E-2</v>
      </c>
      <c r="E26" s="121"/>
      <c r="F26" s="64"/>
      <c r="G26" s="64"/>
    </row>
    <row r="27" spans="1:15" x14ac:dyDescent="0.35">
      <c r="B27" s="64">
        <v>459000</v>
      </c>
      <c r="C27" s="64">
        <f t="shared" si="0"/>
        <v>-17000</v>
      </c>
      <c r="D27" s="2">
        <f t="shared" si="1"/>
        <v>-3.5714285714285712E-2</v>
      </c>
      <c r="E27" s="121"/>
      <c r="F27" s="64"/>
      <c r="G27" s="64"/>
      <c r="O27" s="92"/>
    </row>
    <row r="28" spans="1:15" x14ac:dyDescent="0.35">
      <c r="A28">
        <v>2016</v>
      </c>
      <c r="B28" s="122">
        <v>458000</v>
      </c>
      <c r="C28" s="64">
        <f t="shared" si="0"/>
        <v>-1000</v>
      </c>
      <c r="D28" s="2">
        <f t="shared" si="1"/>
        <v>-2.1786492374727671E-3</v>
      </c>
      <c r="E28" s="96"/>
      <c r="F28" s="64"/>
      <c r="G28" s="64"/>
    </row>
    <row r="29" spans="1:15" x14ac:dyDescent="0.35">
      <c r="B29" s="122">
        <v>458000</v>
      </c>
      <c r="C29" s="64">
        <f t="shared" si="0"/>
        <v>0</v>
      </c>
      <c r="D29" s="2">
        <f t="shared" si="1"/>
        <v>0</v>
      </c>
      <c r="G29" s="64"/>
    </row>
    <row r="30" spans="1:15" x14ac:dyDescent="0.35">
      <c r="B30" s="122">
        <v>458000</v>
      </c>
      <c r="C30" s="64">
        <f t="shared" si="0"/>
        <v>0</v>
      </c>
      <c r="D30" s="2">
        <f t="shared" si="1"/>
        <v>0</v>
      </c>
      <c r="G30" s="64"/>
    </row>
    <row r="31" spans="1:15" x14ac:dyDescent="0.35">
      <c r="B31" s="122">
        <v>456000</v>
      </c>
      <c r="C31" s="64">
        <f t="shared" si="0"/>
        <v>-2000</v>
      </c>
      <c r="D31" s="2">
        <f t="shared" si="1"/>
        <v>-4.3668122270742356E-3</v>
      </c>
      <c r="G31" s="64"/>
    </row>
    <row r="32" spans="1:15" x14ac:dyDescent="0.35">
      <c r="A32">
        <v>2017</v>
      </c>
      <c r="B32" s="64">
        <v>464000</v>
      </c>
      <c r="C32" s="64">
        <f t="shared" si="0"/>
        <v>8000</v>
      </c>
      <c r="D32" s="2">
        <f t="shared" si="1"/>
        <v>1.7543859649122806E-2</v>
      </c>
    </row>
    <row r="33" spans="1:15" x14ac:dyDescent="0.35">
      <c r="B33" s="64">
        <v>471000</v>
      </c>
      <c r="C33" s="64">
        <f t="shared" si="0"/>
        <v>7000</v>
      </c>
      <c r="D33" s="2">
        <f t="shared" si="1"/>
        <v>1.5086206896551725E-2</v>
      </c>
      <c r="E33" s="92"/>
      <c r="F33" s="92"/>
      <c r="G33" s="92"/>
      <c r="H33" s="92"/>
      <c r="I33" s="92"/>
      <c r="J33" s="92"/>
      <c r="K33" s="92"/>
      <c r="L33" s="92"/>
    </row>
    <row r="34" spans="1:15" x14ac:dyDescent="0.35">
      <c r="B34" s="64">
        <v>460000</v>
      </c>
      <c r="C34" s="64">
        <f t="shared" si="0"/>
        <v>-11000</v>
      </c>
      <c r="D34" s="2">
        <f t="shared" si="1"/>
        <v>-2.3354564755838639E-2</v>
      </c>
    </row>
    <row r="35" spans="1:15" x14ac:dyDescent="0.35">
      <c r="B35" s="64">
        <v>457000</v>
      </c>
      <c r="C35" s="64">
        <f t="shared" si="0"/>
        <v>-3000</v>
      </c>
      <c r="D35" s="2">
        <f t="shared" si="1"/>
        <v>-6.5217391304347823E-3</v>
      </c>
    </row>
    <row r="36" spans="1:15" x14ac:dyDescent="0.35">
      <c r="A36">
        <v>2018</v>
      </c>
      <c r="B36" s="64">
        <v>454000</v>
      </c>
      <c r="C36" s="64">
        <f t="shared" si="0"/>
        <v>-3000</v>
      </c>
      <c r="D36" s="2">
        <f t="shared" si="1"/>
        <v>-6.5645514223194746E-3</v>
      </c>
    </row>
    <row r="37" spans="1:15" x14ac:dyDescent="0.35">
      <c r="B37" s="64">
        <v>459000</v>
      </c>
      <c r="C37" s="64">
        <f t="shared" si="0"/>
        <v>5000</v>
      </c>
      <c r="D37" s="2">
        <f t="shared" si="1"/>
        <v>1.1013215859030838E-2</v>
      </c>
    </row>
    <row r="38" spans="1:15" x14ac:dyDescent="0.35">
      <c r="B38" s="64">
        <v>456000</v>
      </c>
      <c r="C38" s="64">
        <f t="shared" si="0"/>
        <v>-3000</v>
      </c>
      <c r="D38" s="2">
        <f t="shared" si="1"/>
        <v>-6.5359477124183009E-3</v>
      </c>
    </row>
    <row r="39" spans="1:15" x14ac:dyDescent="0.35">
      <c r="B39" s="64">
        <v>453000</v>
      </c>
      <c r="C39" s="64">
        <f>B39-B38</f>
        <v>-3000</v>
      </c>
      <c r="D39" s="2">
        <f>C39/B38</f>
        <v>-6.5789473684210523E-3</v>
      </c>
    </row>
    <row r="40" spans="1:15" x14ac:dyDescent="0.35">
      <c r="A40">
        <v>2019</v>
      </c>
      <c r="B40" s="64">
        <v>455000</v>
      </c>
      <c r="C40" s="64">
        <f>B40-B39</f>
        <v>2000</v>
      </c>
      <c r="D40" s="29">
        <f>C40/B39</f>
        <v>4.4150110375275938E-3</v>
      </c>
    </row>
    <row r="41" spans="1:15" s="1" customFormat="1" x14ac:dyDescent="0.35">
      <c r="A41"/>
      <c r="B41" s="64">
        <v>462000</v>
      </c>
      <c r="C41" s="64">
        <f>B41-B40</f>
        <v>7000</v>
      </c>
      <c r="D41" s="29">
        <f>C41/B40</f>
        <v>1.5384615384615385E-2</v>
      </c>
      <c r="O41" s="94"/>
    </row>
    <row r="42" spans="1:15" x14ac:dyDescent="0.35">
      <c r="B42" s="64">
        <v>463000</v>
      </c>
      <c r="C42" s="64">
        <f>B42-B41</f>
        <v>1000</v>
      </c>
      <c r="D42" s="29">
        <f>C42/B41</f>
        <v>2.1645021645021645E-3</v>
      </c>
      <c r="O42" s="92"/>
    </row>
    <row r="43" spans="1:15" x14ac:dyDescent="0.35">
      <c r="B43" s="64">
        <v>452000</v>
      </c>
      <c r="C43" s="64">
        <f t="shared" ref="C43:C47" si="2">B43-B42</f>
        <v>-11000</v>
      </c>
      <c r="D43" s="29">
        <f t="shared" ref="D43:D47" si="3">C43/B42</f>
        <v>-2.3758099352051837E-2</v>
      </c>
    </row>
    <row r="44" spans="1:15" x14ac:dyDescent="0.35">
      <c r="A44">
        <v>2020</v>
      </c>
      <c r="B44" s="64">
        <v>456000</v>
      </c>
      <c r="C44" s="64">
        <f t="shared" si="2"/>
        <v>4000</v>
      </c>
      <c r="D44" s="29">
        <f t="shared" si="3"/>
        <v>8.8495575221238937E-3</v>
      </c>
    </row>
    <row r="45" spans="1:15" x14ac:dyDescent="0.35">
      <c r="B45" s="64">
        <v>452000</v>
      </c>
      <c r="C45" s="64">
        <f t="shared" si="2"/>
        <v>-4000</v>
      </c>
      <c r="D45" s="29">
        <f t="shared" si="3"/>
        <v>-8.771929824561403E-3</v>
      </c>
    </row>
    <row r="46" spans="1:15" x14ac:dyDescent="0.35">
      <c r="B46" s="64">
        <v>453000</v>
      </c>
      <c r="C46" s="64">
        <f t="shared" si="2"/>
        <v>1000</v>
      </c>
      <c r="D46" s="29">
        <f t="shared" si="3"/>
        <v>2.2123893805309734E-3</v>
      </c>
      <c r="E46" s="64" t="s">
        <v>215</v>
      </c>
    </row>
    <row r="47" spans="1:15" x14ac:dyDescent="0.35">
      <c r="B47" s="64">
        <v>452000</v>
      </c>
      <c r="C47" s="64">
        <f t="shared" si="2"/>
        <v>-1000</v>
      </c>
      <c r="D47" s="29">
        <f t="shared" si="3"/>
        <v>-2.2075055187637969E-3</v>
      </c>
      <c r="O47" s="92"/>
    </row>
    <row r="48" spans="1:15" x14ac:dyDescent="0.35">
      <c r="A48" s="1" t="s">
        <v>216</v>
      </c>
      <c r="O48" s="92"/>
    </row>
    <row r="54" spans="15:15" x14ac:dyDescent="0.35">
      <c r="O54" s="92"/>
    </row>
    <row r="55" spans="15:15" x14ac:dyDescent="0.35">
      <c r="O55" s="92"/>
    </row>
    <row r="60" spans="15:15" x14ac:dyDescent="0.35">
      <c r="O60" s="92"/>
    </row>
    <row r="63" spans="15:15" x14ac:dyDescent="0.35">
      <c r="O63" s="92"/>
    </row>
    <row r="66" spans="15:15" x14ac:dyDescent="0.35">
      <c r="O66" s="92"/>
    </row>
    <row r="69" spans="15:15" x14ac:dyDescent="0.35">
      <c r="O69" s="92"/>
    </row>
    <row r="72" spans="15:15" x14ac:dyDescent="0.35">
      <c r="O72" s="92"/>
    </row>
    <row r="73" spans="15:15" x14ac:dyDescent="0.35">
      <c r="O73" s="92"/>
    </row>
    <row r="75" spans="15:15" x14ac:dyDescent="0.35">
      <c r="O75" s="92"/>
    </row>
    <row r="79" spans="15:15" x14ac:dyDescent="0.35">
      <c r="O79" s="9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zoomScale="42" zoomScaleNormal="42" zoomScalePageLayoutView="39" workbookViewId="0">
      <pane xSplit="2" ySplit="3" topLeftCell="C15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ColWidth="8.90625" defaultRowHeight="14.5" x14ac:dyDescent="0.35"/>
  <cols>
    <col min="6" max="6" width="9.90625" bestFit="1" customWidth="1"/>
  </cols>
  <sheetData>
    <row r="1" spans="1:22" ht="26" x14ac:dyDescent="0.6">
      <c r="A1" s="14" t="s">
        <v>219</v>
      </c>
      <c r="B1" s="123"/>
      <c r="C1" s="124"/>
      <c r="D1" s="124"/>
      <c r="E1" s="124"/>
      <c r="F1" s="124"/>
      <c r="G1" s="124"/>
      <c r="H1" s="124"/>
      <c r="I1" s="125"/>
      <c r="J1" s="123"/>
      <c r="K1" s="124"/>
      <c r="L1" s="124"/>
      <c r="M1" s="124"/>
      <c r="N1" s="124"/>
      <c r="O1" s="125"/>
      <c r="P1" s="123"/>
      <c r="Q1" s="124"/>
      <c r="R1" s="124"/>
      <c r="S1" s="124"/>
      <c r="T1" s="124"/>
      <c r="U1" s="124"/>
      <c r="V1" s="124"/>
    </row>
    <row r="2" spans="1:22" x14ac:dyDescent="0.35">
      <c r="A2" s="125"/>
      <c r="B2" s="123"/>
      <c r="C2" s="124" t="s">
        <v>220</v>
      </c>
      <c r="D2" s="124"/>
      <c r="E2" s="124"/>
      <c r="F2" s="124"/>
      <c r="G2" s="124"/>
      <c r="H2" s="124"/>
      <c r="I2" s="125"/>
      <c r="J2" s="123"/>
      <c r="K2" s="124" t="s">
        <v>221</v>
      </c>
      <c r="L2" s="124"/>
      <c r="M2" s="124"/>
      <c r="N2" s="124"/>
      <c r="O2" s="125"/>
      <c r="P2" s="123"/>
      <c r="Q2" s="124" t="s">
        <v>222</v>
      </c>
      <c r="R2" s="124"/>
      <c r="S2" s="124"/>
      <c r="T2" s="124"/>
      <c r="U2" s="124"/>
      <c r="V2" s="124"/>
    </row>
    <row r="3" spans="1:22" x14ac:dyDescent="0.35">
      <c r="A3" s="124"/>
      <c r="B3" s="123"/>
      <c r="C3" s="123" t="s">
        <v>80</v>
      </c>
      <c r="D3" s="123" t="s">
        <v>79</v>
      </c>
      <c r="E3" s="123" t="s">
        <v>223</v>
      </c>
      <c r="F3" s="123" t="s">
        <v>224</v>
      </c>
      <c r="G3" s="123"/>
      <c r="H3" s="124"/>
      <c r="I3" s="124"/>
      <c r="J3" s="123"/>
      <c r="K3" s="124" t="s">
        <v>80</v>
      </c>
      <c r="L3" s="124" t="s">
        <v>79</v>
      </c>
      <c r="M3" s="124" t="s">
        <v>225</v>
      </c>
      <c r="N3" s="124"/>
      <c r="O3" s="124"/>
      <c r="P3" s="123"/>
      <c r="Q3" s="124" t="s">
        <v>80</v>
      </c>
      <c r="R3" s="124" t="s">
        <v>79</v>
      </c>
      <c r="S3" s="124" t="s">
        <v>225</v>
      </c>
      <c r="T3" s="124"/>
      <c r="U3" s="124"/>
      <c r="V3" s="124"/>
    </row>
    <row r="4" spans="1:22" x14ac:dyDescent="0.35">
      <c r="A4" s="124">
        <v>2010</v>
      </c>
      <c r="B4" s="123" t="s">
        <v>226</v>
      </c>
      <c r="C4" s="123">
        <v>128.52685</v>
      </c>
      <c r="D4" s="123">
        <v>136.98899</v>
      </c>
      <c r="E4" s="29">
        <v>0.58706047819971863</v>
      </c>
      <c r="F4" s="126">
        <v>7.4</v>
      </c>
      <c r="G4" s="123"/>
      <c r="H4" s="124"/>
      <c r="I4" s="124">
        <v>2010</v>
      </c>
      <c r="J4" s="123" t="s">
        <v>226</v>
      </c>
      <c r="K4" s="127">
        <f t="shared" ref="K4:K36" si="0">C4/E4</f>
        <v>218.93289494489701</v>
      </c>
      <c r="L4" s="127">
        <f t="shared" ref="L4:L36" si="1">D4/E4</f>
        <v>233.34732125059898</v>
      </c>
      <c r="M4" s="128">
        <f t="shared" ref="M4:M48" si="2">K4-L4</f>
        <v>-14.414426305701966</v>
      </c>
      <c r="N4" s="124"/>
      <c r="O4" s="124">
        <v>2010</v>
      </c>
      <c r="P4" s="123" t="s">
        <v>226</v>
      </c>
      <c r="Q4" s="123">
        <f>C4/F4</f>
        <v>17.368493243243243</v>
      </c>
      <c r="R4" s="123">
        <f>D4/F4</f>
        <v>18.512025675675677</v>
      </c>
      <c r="S4" s="128">
        <f>Q4-R4</f>
        <v>-1.1435324324324334</v>
      </c>
      <c r="T4" s="124"/>
      <c r="U4" s="124"/>
      <c r="V4" s="124"/>
    </row>
    <row r="5" spans="1:22" x14ac:dyDescent="0.35">
      <c r="A5" s="124"/>
      <c r="B5" s="123" t="s">
        <v>227</v>
      </c>
      <c r="C5" s="123">
        <v>146.90540000000001</v>
      </c>
      <c r="D5" s="123">
        <v>143.46820000000002</v>
      </c>
      <c r="E5" s="29">
        <v>0.59268635724331931</v>
      </c>
      <c r="F5" s="126">
        <v>7.6</v>
      </c>
      <c r="G5" s="123"/>
      <c r="H5" s="124"/>
      <c r="I5" s="124"/>
      <c r="J5" s="123" t="s">
        <v>227</v>
      </c>
      <c r="K5" s="127">
        <f t="shared" si="0"/>
        <v>247.86364356905554</v>
      </c>
      <c r="L5" s="127">
        <f t="shared" si="1"/>
        <v>242.06428618889419</v>
      </c>
      <c r="M5" s="128">
        <f t="shared" si="2"/>
        <v>5.7993573801613536</v>
      </c>
      <c r="N5" s="124"/>
      <c r="O5" s="124"/>
      <c r="P5" s="123" t="s">
        <v>227</v>
      </c>
      <c r="Q5" s="123">
        <f t="shared" ref="Q5:Q48" si="3">C5/F5</f>
        <v>19.329657894736844</v>
      </c>
      <c r="R5" s="123">
        <f t="shared" ref="R5:R48" si="4">D5/F5</f>
        <v>18.87739473684211</v>
      </c>
      <c r="S5" s="128">
        <f t="shared" ref="S5:S43" si="5">Q5-R5</f>
        <v>0.45226315789473404</v>
      </c>
      <c r="T5" s="124"/>
      <c r="U5" s="124"/>
      <c r="V5" s="124"/>
    </row>
    <row r="6" spans="1:22" x14ac:dyDescent="0.35">
      <c r="A6" s="124"/>
      <c r="B6" s="123" t="s">
        <v>228</v>
      </c>
      <c r="C6" s="123">
        <v>157.69399999999999</v>
      </c>
      <c r="D6" s="123">
        <v>156.72220000000002</v>
      </c>
      <c r="E6" s="29">
        <v>0.59746835443037971</v>
      </c>
      <c r="F6" s="126">
        <v>7.1</v>
      </c>
      <c r="G6" s="123"/>
      <c r="H6" s="124"/>
      <c r="I6" s="124"/>
      <c r="J6" s="123" t="s">
        <v>228</v>
      </c>
      <c r="K6" s="127">
        <f t="shared" si="0"/>
        <v>263.93699152542371</v>
      </c>
      <c r="L6" s="127">
        <f t="shared" si="1"/>
        <v>262.31046186440682</v>
      </c>
      <c r="M6" s="128">
        <f t="shared" si="2"/>
        <v>1.6265296610168889</v>
      </c>
      <c r="N6" s="124"/>
      <c r="O6" s="124"/>
      <c r="P6" s="123" t="s">
        <v>228</v>
      </c>
      <c r="Q6" s="123">
        <f t="shared" si="3"/>
        <v>22.210422535211269</v>
      </c>
      <c r="R6" s="123">
        <f t="shared" si="4"/>
        <v>22.073549295774651</v>
      </c>
      <c r="S6" s="128">
        <f t="shared" si="5"/>
        <v>0.13687323943661767</v>
      </c>
      <c r="T6" s="124"/>
      <c r="U6" s="124"/>
      <c r="V6" s="124"/>
    </row>
    <row r="7" spans="1:22" x14ac:dyDescent="0.35">
      <c r="A7" s="124"/>
      <c r="B7" s="123" t="s">
        <v>229</v>
      </c>
      <c r="C7" s="123">
        <v>163.9127</v>
      </c>
      <c r="D7" s="123">
        <v>148.39349999999999</v>
      </c>
      <c r="E7" s="29">
        <v>0.60000000000000009</v>
      </c>
      <c r="F7" s="126">
        <v>6.8</v>
      </c>
      <c r="G7" s="123"/>
      <c r="H7" s="124"/>
      <c r="I7" s="124"/>
      <c r="J7" s="123" t="s">
        <v>229</v>
      </c>
      <c r="K7" s="127">
        <f t="shared" si="0"/>
        <v>273.18783333333329</v>
      </c>
      <c r="L7" s="127">
        <f t="shared" si="1"/>
        <v>247.32249999999993</v>
      </c>
      <c r="M7" s="128">
        <f t="shared" si="2"/>
        <v>25.865333333333353</v>
      </c>
      <c r="N7" s="124"/>
      <c r="O7" s="124"/>
      <c r="P7" s="123" t="s">
        <v>229</v>
      </c>
      <c r="Q7" s="123">
        <f t="shared" si="3"/>
        <v>24.104808823529414</v>
      </c>
      <c r="R7" s="123">
        <f t="shared" si="4"/>
        <v>21.822573529411763</v>
      </c>
      <c r="S7" s="128">
        <f t="shared" si="5"/>
        <v>2.2822352941176511</v>
      </c>
      <c r="T7" s="124"/>
      <c r="U7" s="124"/>
      <c r="V7" s="124"/>
    </row>
    <row r="8" spans="1:22" x14ac:dyDescent="0.35">
      <c r="A8" s="124">
        <v>2011</v>
      </c>
      <c r="B8" s="123" t="s">
        <v>226</v>
      </c>
      <c r="C8" s="123">
        <v>157.23270000000002</v>
      </c>
      <c r="D8" s="123">
        <v>161.5386</v>
      </c>
      <c r="E8" s="29">
        <v>0.60900140646976098</v>
      </c>
      <c r="F8" s="126">
        <v>6.9</v>
      </c>
      <c r="G8" s="123"/>
      <c r="H8" s="124"/>
      <c r="I8" s="124">
        <v>2011</v>
      </c>
      <c r="J8" s="123" t="s">
        <v>226</v>
      </c>
      <c r="K8" s="127">
        <f t="shared" si="0"/>
        <v>258.18117713625867</v>
      </c>
      <c r="L8" s="127">
        <f t="shared" si="1"/>
        <v>265.25160415704386</v>
      </c>
      <c r="M8" s="128">
        <f t="shared" si="2"/>
        <v>-7.0704270207851891</v>
      </c>
      <c r="N8" s="124"/>
      <c r="O8" s="124">
        <v>2011</v>
      </c>
      <c r="P8" s="123" t="s">
        <v>226</v>
      </c>
      <c r="Q8" s="123">
        <f t="shared" si="3"/>
        <v>22.787347826086958</v>
      </c>
      <c r="R8" s="123">
        <f t="shared" si="4"/>
        <v>23.411391304347827</v>
      </c>
      <c r="S8" s="128">
        <f t="shared" si="5"/>
        <v>-0.62404347826086948</v>
      </c>
      <c r="T8" s="124"/>
      <c r="U8" s="124"/>
      <c r="V8" s="124"/>
    </row>
    <row r="9" spans="1:22" x14ac:dyDescent="0.35">
      <c r="A9" s="124"/>
      <c r="B9" s="123" t="s">
        <v>227</v>
      </c>
      <c r="C9" s="123">
        <v>168.53639999999999</v>
      </c>
      <c r="D9" s="123">
        <v>167.143</v>
      </c>
      <c r="E9" s="29">
        <v>0.620253164556962</v>
      </c>
      <c r="F9" s="126">
        <v>6.8</v>
      </c>
      <c r="G9" s="123"/>
      <c r="H9" s="124"/>
      <c r="I9" s="124"/>
      <c r="J9" s="123" t="s">
        <v>227</v>
      </c>
      <c r="K9" s="127">
        <f t="shared" si="0"/>
        <v>271.72195102040814</v>
      </c>
      <c r="L9" s="127">
        <f t="shared" si="1"/>
        <v>269.47544897959187</v>
      </c>
      <c r="M9" s="128">
        <f t="shared" si="2"/>
        <v>2.2465020408162673</v>
      </c>
      <c r="N9" s="124"/>
      <c r="O9" s="124"/>
      <c r="P9" s="123" t="s">
        <v>227</v>
      </c>
      <c r="Q9" s="123">
        <f t="shared" si="3"/>
        <v>24.784764705882353</v>
      </c>
      <c r="R9" s="123">
        <f t="shared" si="4"/>
        <v>24.579852941176473</v>
      </c>
      <c r="S9" s="128">
        <f t="shared" si="5"/>
        <v>0.20491176470588002</v>
      </c>
      <c r="T9" s="124"/>
      <c r="U9" s="124"/>
      <c r="V9" s="124"/>
    </row>
    <row r="10" spans="1:22" x14ac:dyDescent="0.35">
      <c r="A10" s="124"/>
      <c r="B10" s="123" t="s">
        <v>228</v>
      </c>
      <c r="C10" s="123">
        <v>185.27029999999999</v>
      </c>
      <c r="D10" s="123">
        <v>190.39609999999999</v>
      </c>
      <c r="E10" s="29">
        <v>0.62981715893108303</v>
      </c>
      <c r="F10" s="129">
        <v>7.5</v>
      </c>
      <c r="G10" s="123"/>
      <c r="H10" s="124"/>
      <c r="I10" s="124"/>
      <c r="J10" s="123" t="s">
        <v>228</v>
      </c>
      <c r="K10" s="127">
        <f t="shared" si="0"/>
        <v>294.16521505136217</v>
      </c>
      <c r="L10" s="127">
        <f t="shared" si="1"/>
        <v>302.30376753014735</v>
      </c>
      <c r="M10" s="128">
        <f t="shared" si="2"/>
        <v>-8.1385524787851864</v>
      </c>
      <c r="N10" s="124"/>
      <c r="O10" s="124"/>
      <c r="P10" s="123" t="s">
        <v>228</v>
      </c>
      <c r="Q10" s="123">
        <f t="shared" si="3"/>
        <v>24.702706666666664</v>
      </c>
      <c r="R10" s="123">
        <f t="shared" si="4"/>
        <v>25.386146666666665</v>
      </c>
      <c r="S10" s="128">
        <f t="shared" si="5"/>
        <v>-0.68344000000000094</v>
      </c>
      <c r="T10" s="124"/>
      <c r="U10" s="124"/>
      <c r="V10" s="124"/>
    </row>
    <row r="11" spans="1:22" x14ac:dyDescent="0.35">
      <c r="A11" s="124"/>
      <c r="B11" s="123" t="s">
        <v>229</v>
      </c>
      <c r="C11" s="123">
        <v>192.62980000000002</v>
      </c>
      <c r="D11" s="123">
        <v>205.52189999999999</v>
      </c>
      <c r="E11" s="29">
        <v>0.63741209563994383</v>
      </c>
      <c r="F11" s="129">
        <v>8.1999999999999993</v>
      </c>
      <c r="G11" s="123"/>
      <c r="H11" s="124"/>
      <c r="I11" s="124"/>
      <c r="J11" s="123" t="s">
        <v>229</v>
      </c>
      <c r="K11" s="127">
        <f t="shared" si="0"/>
        <v>302.20606310679608</v>
      </c>
      <c r="L11" s="127">
        <f t="shared" si="1"/>
        <v>322.43175397175634</v>
      </c>
      <c r="M11" s="128">
        <f t="shared" si="2"/>
        <v>-20.225690864960256</v>
      </c>
      <c r="N11" s="124"/>
      <c r="O11" s="124"/>
      <c r="P11" s="123" t="s">
        <v>229</v>
      </c>
      <c r="Q11" s="123">
        <f t="shared" si="3"/>
        <v>23.49143902439025</v>
      </c>
      <c r="R11" s="123">
        <f t="shared" si="4"/>
        <v>25.063646341463414</v>
      </c>
      <c r="S11" s="128">
        <f t="shared" si="5"/>
        <v>-1.5722073170731647</v>
      </c>
      <c r="T11" s="124"/>
      <c r="U11" s="124"/>
      <c r="V11" s="124"/>
    </row>
    <row r="12" spans="1:22" x14ac:dyDescent="0.35">
      <c r="A12" s="124">
        <v>2012</v>
      </c>
      <c r="B12" s="123" t="s">
        <v>226</v>
      </c>
      <c r="C12" s="123">
        <v>171.57160000000002</v>
      </c>
      <c r="D12" s="123">
        <v>198.06680000000003</v>
      </c>
      <c r="E12" s="29">
        <v>0.64669479606188462</v>
      </c>
      <c r="F12" s="129">
        <v>7.6</v>
      </c>
      <c r="G12" s="123"/>
      <c r="H12" s="124"/>
      <c r="I12" s="124">
        <v>2012</v>
      </c>
      <c r="J12" s="123" t="s">
        <v>226</v>
      </c>
      <c r="K12" s="127">
        <f t="shared" si="0"/>
        <v>265.30536668116576</v>
      </c>
      <c r="L12" s="127">
        <f t="shared" si="1"/>
        <v>306.27554327968687</v>
      </c>
      <c r="M12" s="128">
        <f t="shared" si="2"/>
        <v>-40.970176598521107</v>
      </c>
      <c r="N12" s="124"/>
      <c r="O12" s="124">
        <v>2012</v>
      </c>
      <c r="P12" s="123" t="s">
        <v>226</v>
      </c>
      <c r="Q12" s="123">
        <f t="shared" si="3"/>
        <v>22.575210526315793</v>
      </c>
      <c r="R12" s="123">
        <f t="shared" si="4"/>
        <v>26.061421052631584</v>
      </c>
      <c r="S12" s="128">
        <f t="shared" si="5"/>
        <v>-3.4862105263157908</v>
      </c>
      <c r="T12" s="124"/>
      <c r="U12" s="124"/>
      <c r="V12" s="124"/>
    </row>
    <row r="13" spans="1:22" x14ac:dyDescent="0.35">
      <c r="A13" s="124"/>
      <c r="B13" s="123" t="s">
        <v>227</v>
      </c>
      <c r="C13" s="123">
        <v>176.64229999999998</v>
      </c>
      <c r="D13" s="123">
        <v>201.17069999999998</v>
      </c>
      <c r="E13" s="29">
        <v>0.65654008438818567</v>
      </c>
      <c r="F13" s="129">
        <v>8.4</v>
      </c>
      <c r="G13" s="123"/>
      <c r="H13" s="124"/>
      <c r="I13" s="124"/>
      <c r="J13" s="123" t="s">
        <v>227</v>
      </c>
      <c r="K13" s="127">
        <f t="shared" si="0"/>
        <v>269.0502898457583</v>
      </c>
      <c r="L13" s="127">
        <f t="shared" si="1"/>
        <v>306.41038496143955</v>
      </c>
      <c r="M13" s="128">
        <f t="shared" si="2"/>
        <v>-37.360095115681247</v>
      </c>
      <c r="N13" s="124"/>
      <c r="O13" s="124"/>
      <c r="P13" s="123" t="s">
        <v>227</v>
      </c>
      <c r="Q13" s="123">
        <f t="shared" si="3"/>
        <v>21.028845238095233</v>
      </c>
      <c r="R13" s="123">
        <f t="shared" si="4"/>
        <v>23.948892857142855</v>
      </c>
      <c r="S13" s="128">
        <f t="shared" si="5"/>
        <v>-2.9200476190476223</v>
      </c>
      <c r="T13" s="124"/>
      <c r="U13" s="124"/>
      <c r="V13" s="124"/>
    </row>
    <row r="14" spans="1:22" x14ac:dyDescent="0.35">
      <c r="A14" s="124"/>
      <c r="B14" s="123" t="s">
        <v>228</v>
      </c>
      <c r="C14" s="123">
        <v>181.62620000000001</v>
      </c>
      <c r="D14" s="123">
        <v>214.29840000000002</v>
      </c>
      <c r="E14" s="29">
        <v>0.66244725738396626</v>
      </c>
      <c r="F14" s="129">
        <v>8.3000000000000007</v>
      </c>
      <c r="G14" s="123"/>
      <c r="H14" s="124"/>
      <c r="I14" s="124"/>
      <c r="J14" s="123" t="s">
        <v>228</v>
      </c>
      <c r="K14" s="127">
        <f t="shared" si="0"/>
        <v>274.1745821656051</v>
      </c>
      <c r="L14" s="127">
        <f t="shared" si="1"/>
        <v>323.4950369426752</v>
      </c>
      <c r="M14" s="128">
        <f t="shared" si="2"/>
        <v>-49.320454777070097</v>
      </c>
      <c r="N14" s="124"/>
      <c r="O14" s="124"/>
      <c r="P14" s="123" t="s">
        <v>228</v>
      </c>
      <c r="Q14" s="123">
        <f t="shared" si="3"/>
        <v>21.882674698795181</v>
      </c>
      <c r="R14" s="123">
        <f t="shared" si="4"/>
        <v>25.819084337349398</v>
      </c>
      <c r="S14" s="128">
        <f t="shared" si="5"/>
        <v>-3.9364096385542169</v>
      </c>
      <c r="T14" s="124"/>
      <c r="U14" s="124"/>
      <c r="V14" s="124"/>
    </row>
    <row r="15" spans="1:22" x14ac:dyDescent="0.35">
      <c r="A15" s="124"/>
      <c r="B15" s="123" t="s">
        <v>229</v>
      </c>
      <c r="C15" s="123">
        <v>186.66560000000001</v>
      </c>
      <c r="D15" s="123">
        <v>219.001</v>
      </c>
      <c r="E15" s="29">
        <v>0.67369901547116728</v>
      </c>
      <c r="F15" s="129">
        <v>8.6</v>
      </c>
      <c r="G15" s="123"/>
      <c r="H15" s="124"/>
      <c r="I15" s="124"/>
      <c r="J15" s="123" t="s">
        <v>229</v>
      </c>
      <c r="K15" s="127">
        <f t="shared" si="0"/>
        <v>277.07566096033406</v>
      </c>
      <c r="L15" s="127">
        <f t="shared" si="1"/>
        <v>325.07246555323593</v>
      </c>
      <c r="M15" s="128">
        <f t="shared" si="2"/>
        <v>-47.996804592901867</v>
      </c>
      <c r="N15" s="124"/>
      <c r="O15" s="124"/>
      <c r="P15" s="123" t="s">
        <v>229</v>
      </c>
      <c r="Q15" s="123">
        <f t="shared" si="3"/>
        <v>21.705302325581396</v>
      </c>
      <c r="R15" s="123">
        <f t="shared" si="4"/>
        <v>25.465232558139537</v>
      </c>
      <c r="S15" s="128">
        <f t="shared" si="5"/>
        <v>-3.7599302325581405</v>
      </c>
      <c r="T15" s="124"/>
      <c r="U15" s="124"/>
      <c r="V15" s="124"/>
    </row>
    <row r="16" spans="1:22" x14ac:dyDescent="0.35">
      <c r="A16" s="124">
        <v>2013</v>
      </c>
      <c r="B16" s="123" t="s">
        <v>226</v>
      </c>
      <c r="C16" s="123">
        <v>178.93490000000003</v>
      </c>
      <c r="D16" s="123">
        <v>221.49449999999999</v>
      </c>
      <c r="E16" s="29">
        <v>0.6843881856540085</v>
      </c>
      <c r="F16" s="129">
        <v>9.1999999999999993</v>
      </c>
      <c r="G16" s="123"/>
      <c r="H16" s="124"/>
      <c r="I16" s="124">
        <v>2013</v>
      </c>
      <c r="J16" s="123" t="s">
        <v>226</v>
      </c>
      <c r="K16" s="127">
        <f t="shared" si="0"/>
        <v>261.45235080147967</v>
      </c>
      <c r="L16" s="127">
        <f t="shared" si="1"/>
        <v>323.63869605425396</v>
      </c>
      <c r="M16" s="128">
        <f t="shared" si="2"/>
        <v>-62.186345252774288</v>
      </c>
      <c r="N16" s="124"/>
      <c r="O16" s="124">
        <v>2013</v>
      </c>
      <c r="P16" s="123" t="s">
        <v>226</v>
      </c>
      <c r="Q16" s="123">
        <f t="shared" si="3"/>
        <v>19.449445652173917</v>
      </c>
      <c r="R16" s="123">
        <f t="shared" si="4"/>
        <v>24.075489130434782</v>
      </c>
      <c r="S16" s="128">
        <f t="shared" si="5"/>
        <v>-4.6260434782608648</v>
      </c>
      <c r="T16" s="124"/>
      <c r="U16" s="124"/>
      <c r="V16" s="124"/>
    </row>
    <row r="17" spans="1:22" x14ac:dyDescent="0.35">
      <c r="A17" s="124"/>
      <c r="B17" s="123" t="s">
        <v>227</v>
      </c>
      <c r="C17" s="123">
        <v>200.6173</v>
      </c>
      <c r="D17" s="123">
        <v>235.74379999999999</v>
      </c>
      <c r="E17" s="29">
        <v>0.69338959212376938</v>
      </c>
      <c r="F17" s="129">
        <v>10</v>
      </c>
      <c r="G17" s="123"/>
      <c r="H17" s="124"/>
      <c r="I17" s="124"/>
      <c r="J17" s="123" t="s">
        <v>227</v>
      </c>
      <c r="K17" s="127">
        <f t="shared" si="0"/>
        <v>289.32839817444216</v>
      </c>
      <c r="L17" s="127">
        <f t="shared" si="1"/>
        <v>339.98750872210951</v>
      </c>
      <c r="M17" s="128">
        <f t="shared" si="2"/>
        <v>-50.659110547667353</v>
      </c>
      <c r="N17" s="124"/>
      <c r="O17" s="124"/>
      <c r="P17" s="123" t="s">
        <v>227</v>
      </c>
      <c r="Q17" s="123">
        <f t="shared" si="3"/>
        <v>20.061730000000001</v>
      </c>
      <c r="R17" s="123">
        <f t="shared" si="4"/>
        <v>23.574379999999998</v>
      </c>
      <c r="S17" s="128">
        <f t="shared" si="5"/>
        <v>-3.5126499999999972</v>
      </c>
      <c r="T17" s="124"/>
      <c r="U17" s="124"/>
      <c r="V17" s="124"/>
    </row>
    <row r="18" spans="1:22" x14ac:dyDescent="0.35">
      <c r="A18" s="124"/>
      <c r="B18" s="123" t="s">
        <v>228</v>
      </c>
      <c r="C18" s="123">
        <v>223.13239999999996</v>
      </c>
      <c r="D18" s="123">
        <v>267.51590000000004</v>
      </c>
      <c r="E18" s="29">
        <v>0.70407876230661048</v>
      </c>
      <c r="F18" s="129">
        <v>10</v>
      </c>
      <c r="G18" s="123"/>
      <c r="H18" s="124"/>
      <c r="I18" s="124"/>
      <c r="J18" s="123" t="s">
        <v>228</v>
      </c>
      <c r="K18" s="127">
        <f t="shared" si="0"/>
        <v>316.91397602876538</v>
      </c>
      <c r="L18" s="127">
        <f t="shared" si="1"/>
        <v>379.95166779864167</v>
      </c>
      <c r="M18" s="128">
        <f t="shared" si="2"/>
        <v>-63.03769176987629</v>
      </c>
      <c r="N18" s="124"/>
      <c r="O18" s="124"/>
      <c r="P18" s="123" t="s">
        <v>228</v>
      </c>
      <c r="Q18" s="123">
        <f t="shared" si="3"/>
        <v>22.313239999999997</v>
      </c>
      <c r="R18" s="123">
        <f t="shared" si="4"/>
        <v>26.751590000000004</v>
      </c>
      <c r="S18" s="128">
        <f t="shared" si="5"/>
        <v>-4.4383500000000069</v>
      </c>
      <c r="T18" s="124"/>
      <c r="U18" s="124"/>
      <c r="V18" s="124"/>
    </row>
    <row r="19" spans="1:22" x14ac:dyDescent="0.35">
      <c r="A19" s="124"/>
      <c r="B19" s="123" t="s">
        <v>229</v>
      </c>
      <c r="C19" s="123">
        <v>246.34179999999998</v>
      </c>
      <c r="D19" s="123">
        <v>254.8818</v>
      </c>
      <c r="E19" s="29">
        <v>0.70998593530239096</v>
      </c>
      <c r="F19" s="129">
        <v>10.4</v>
      </c>
      <c r="G19" s="123"/>
      <c r="H19" s="124"/>
      <c r="I19" s="124"/>
      <c r="J19" s="123" t="s">
        <v>229</v>
      </c>
      <c r="K19" s="127">
        <f t="shared" si="0"/>
        <v>346.96715491283675</v>
      </c>
      <c r="L19" s="127">
        <f t="shared" si="1"/>
        <v>358.99556220285262</v>
      </c>
      <c r="M19" s="128">
        <f t="shared" si="2"/>
        <v>-12.028407290015878</v>
      </c>
      <c r="N19" s="124"/>
      <c r="O19" s="124"/>
      <c r="P19" s="123" t="s">
        <v>229</v>
      </c>
      <c r="Q19" s="123">
        <f t="shared" si="3"/>
        <v>23.686711538461534</v>
      </c>
      <c r="R19" s="123">
        <f t="shared" si="4"/>
        <v>24.507865384615382</v>
      </c>
      <c r="S19" s="128">
        <f t="shared" si="5"/>
        <v>-0.82115384615384812</v>
      </c>
      <c r="T19" s="124"/>
      <c r="U19" s="124"/>
      <c r="V19" s="124"/>
    </row>
    <row r="20" spans="1:22" x14ac:dyDescent="0.35">
      <c r="A20" s="124">
        <v>2014</v>
      </c>
      <c r="B20" s="123" t="s">
        <v>226</v>
      </c>
      <c r="C20" s="123">
        <v>240.03999999999996</v>
      </c>
      <c r="D20" s="123">
        <v>268.20590000000004</v>
      </c>
      <c r="E20" s="29">
        <v>0.72461322081575252</v>
      </c>
      <c r="F20" s="129">
        <v>10.7</v>
      </c>
      <c r="G20" s="123"/>
      <c r="H20" s="124"/>
      <c r="I20" s="124">
        <v>2014</v>
      </c>
      <c r="J20" s="123" t="s">
        <v>226</v>
      </c>
      <c r="K20" s="127">
        <f t="shared" si="0"/>
        <v>331.26638198757757</v>
      </c>
      <c r="L20" s="127">
        <f t="shared" si="1"/>
        <v>370.13663606366464</v>
      </c>
      <c r="M20" s="128">
        <f t="shared" si="2"/>
        <v>-38.870254076087065</v>
      </c>
      <c r="N20" s="124"/>
      <c r="O20" s="124">
        <v>2014</v>
      </c>
      <c r="P20" s="123" t="s">
        <v>226</v>
      </c>
      <c r="Q20" s="123">
        <f t="shared" si="3"/>
        <v>22.433644859813082</v>
      </c>
      <c r="R20" s="123">
        <f t="shared" si="4"/>
        <v>25.065971962616828</v>
      </c>
      <c r="S20" s="128">
        <f t="shared" si="5"/>
        <v>-2.632327102803746</v>
      </c>
      <c r="T20" s="124"/>
      <c r="U20" s="124"/>
      <c r="V20" s="124"/>
    </row>
    <row r="21" spans="1:22" x14ac:dyDescent="0.35">
      <c r="A21" s="124"/>
      <c r="B21" s="123" t="s">
        <v>227</v>
      </c>
      <c r="C21" s="123">
        <v>235.26420000000002</v>
      </c>
      <c r="D21" s="123">
        <v>255.5685</v>
      </c>
      <c r="E21" s="29">
        <v>0.73924050632911376</v>
      </c>
      <c r="F21" s="129">
        <v>10.7</v>
      </c>
      <c r="G21" s="123"/>
      <c r="H21" s="124"/>
      <c r="I21" s="124"/>
      <c r="J21" s="123" t="s">
        <v>227</v>
      </c>
      <c r="K21" s="127">
        <f t="shared" si="0"/>
        <v>318.25122945205487</v>
      </c>
      <c r="L21" s="127">
        <f t="shared" si="1"/>
        <v>345.71766267123297</v>
      </c>
      <c r="M21" s="128">
        <f t="shared" si="2"/>
        <v>-27.4664332191781</v>
      </c>
      <c r="N21" s="124"/>
      <c r="O21" s="124"/>
      <c r="P21" s="123" t="s">
        <v>227</v>
      </c>
      <c r="Q21" s="123">
        <f t="shared" si="3"/>
        <v>21.987308411214958</v>
      </c>
      <c r="R21" s="123">
        <f t="shared" si="4"/>
        <v>23.884906542056076</v>
      </c>
      <c r="S21" s="128">
        <f t="shared" si="5"/>
        <v>-1.8975981308411178</v>
      </c>
      <c r="T21" s="124"/>
      <c r="U21" s="124"/>
      <c r="V21" s="124"/>
    </row>
    <row r="22" spans="1:22" x14ac:dyDescent="0.35">
      <c r="A22" s="124"/>
      <c r="B22" s="123" t="s">
        <v>228</v>
      </c>
      <c r="C22" s="123">
        <v>244.65470000000005</v>
      </c>
      <c r="D22" s="123">
        <v>279.45949999999999</v>
      </c>
      <c r="E22" s="29">
        <v>0.7488045007032349</v>
      </c>
      <c r="F22" s="130">
        <v>11</v>
      </c>
      <c r="G22" s="123"/>
      <c r="H22" s="124"/>
      <c r="I22" s="124"/>
      <c r="J22" s="123" t="s">
        <v>228</v>
      </c>
      <c r="K22" s="127">
        <f t="shared" si="0"/>
        <v>326.72706930879042</v>
      </c>
      <c r="L22" s="127">
        <f t="shared" si="1"/>
        <v>373.20755916604054</v>
      </c>
      <c r="M22" s="128">
        <f t="shared" si="2"/>
        <v>-46.48048985725012</v>
      </c>
      <c r="N22" s="124"/>
      <c r="O22" s="124"/>
      <c r="P22" s="123" t="s">
        <v>228</v>
      </c>
      <c r="Q22" s="123">
        <f t="shared" si="3"/>
        <v>22.241336363636368</v>
      </c>
      <c r="R22" s="123">
        <f t="shared" si="4"/>
        <v>25.405409090909089</v>
      </c>
      <c r="S22" s="128">
        <f t="shared" si="5"/>
        <v>-3.1640727272727212</v>
      </c>
      <c r="T22" s="124"/>
      <c r="U22" s="124"/>
      <c r="V22" s="124"/>
    </row>
    <row r="23" spans="1:22" x14ac:dyDescent="0.35">
      <c r="A23" s="124"/>
      <c r="B23" s="123" t="s">
        <v>229</v>
      </c>
      <c r="C23" s="123">
        <v>260.21949999999998</v>
      </c>
      <c r="D23" s="123">
        <v>280.45539999999994</v>
      </c>
      <c r="E23" s="29">
        <v>0.75049226441631511</v>
      </c>
      <c r="F23" s="130">
        <v>11.5</v>
      </c>
      <c r="G23" s="123"/>
      <c r="H23" s="124"/>
      <c r="I23" s="124"/>
      <c r="J23" s="123" t="s">
        <v>229</v>
      </c>
      <c r="K23" s="127">
        <f t="shared" si="0"/>
        <v>346.73175505996994</v>
      </c>
      <c r="L23" s="127">
        <f t="shared" si="1"/>
        <v>373.69525749625177</v>
      </c>
      <c r="M23" s="128">
        <f t="shared" si="2"/>
        <v>-26.963502436281829</v>
      </c>
      <c r="N23" s="124"/>
      <c r="O23" s="124"/>
      <c r="P23" s="123" t="s">
        <v>229</v>
      </c>
      <c r="Q23" s="123">
        <f t="shared" si="3"/>
        <v>22.62778260869565</v>
      </c>
      <c r="R23" s="123">
        <f t="shared" si="4"/>
        <v>24.387426086956516</v>
      </c>
      <c r="S23" s="128">
        <f t="shared" si="5"/>
        <v>-1.7596434782608661</v>
      </c>
      <c r="T23" s="124"/>
      <c r="U23" s="124"/>
      <c r="V23" s="124"/>
    </row>
    <row r="24" spans="1:22" x14ac:dyDescent="0.35">
      <c r="A24" s="124">
        <v>2015</v>
      </c>
      <c r="B24" s="123" t="s">
        <v>226</v>
      </c>
      <c r="C24" s="123">
        <v>234.50819999999999</v>
      </c>
      <c r="D24" s="123">
        <v>267.46060000000006</v>
      </c>
      <c r="E24" s="29">
        <v>0.75499296765119539</v>
      </c>
      <c r="F24" s="130">
        <v>12.1</v>
      </c>
      <c r="G24" s="123"/>
      <c r="H24" s="124"/>
      <c r="I24" s="124">
        <v>2015</v>
      </c>
      <c r="J24" s="123" t="s">
        <v>226</v>
      </c>
      <c r="K24" s="127">
        <f t="shared" si="0"/>
        <v>310.60978055141584</v>
      </c>
      <c r="L24" s="127">
        <f t="shared" si="1"/>
        <v>354.25575000000015</v>
      </c>
      <c r="M24" s="128">
        <f t="shared" si="2"/>
        <v>-43.64596944858431</v>
      </c>
      <c r="N24" s="124"/>
      <c r="O24" s="124">
        <v>2015</v>
      </c>
      <c r="P24" s="123" t="s">
        <v>226</v>
      </c>
      <c r="Q24" s="123">
        <f t="shared" si="3"/>
        <v>19.380842975206612</v>
      </c>
      <c r="R24" s="123">
        <f t="shared" si="4"/>
        <v>22.104181818181825</v>
      </c>
      <c r="S24" s="128">
        <f t="shared" si="5"/>
        <v>-2.7233388429752132</v>
      </c>
      <c r="T24" s="124"/>
      <c r="U24" s="124"/>
      <c r="V24" s="124"/>
    </row>
    <row r="25" spans="1:22" x14ac:dyDescent="0.35">
      <c r="A25" s="124"/>
      <c r="B25" s="123" t="s">
        <v>227</v>
      </c>
      <c r="C25" s="123">
        <v>263.77029999999996</v>
      </c>
      <c r="D25" s="123">
        <v>254.7902</v>
      </c>
      <c r="E25" s="29">
        <v>0.77243319268635735</v>
      </c>
      <c r="F25" s="130">
        <v>12.3</v>
      </c>
      <c r="G25" s="123"/>
      <c r="H25" s="124"/>
      <c r="I25" s="124"/>
      <c r="J25" s="123" t="s">
        <v>227</v>
      </c>
      <c r="K25" s="127">
        <f t="shared" si="0"/>
        <v>341.4797583758193</v>
      </c>
      <c r="L25" s="127">
        <f t="shared" si="1"/>
        <v>329.85402804078655</v>
      </c>
      <c r="M25" s="128">
        <f t="shared" si="2"/>
        <v>11.625730335032756</v>
      </c>
      <c r="N25" s="124"/>
      <c r="O25" s="124"/>
      <c r="P25" s="123" t="s">
        <v>227</v>
      </c>
      <c r="Q25" s="123">
        <f t="shared" si="3"/>
        <v>21.44473983739837</v>
      </c>
      <c r="R25" s="123">
        <f t="shared" si="4"/>
        <v>20.714650406504063</v>
      </c>
      <c r="S25" s="128">
        <f t="shared" si="5"/>
        <v>0.73008943089430645</v>
      </c>
      <c r="T25" s="124"/>
      <c r="U25" s="124"/>
      <c r="V25" s="124"/>
    </row>
    <row r="26" spans="1:22" x14ac:dyDescent="0.35">
      <c r="A26" s="124"/>
      <c r="B26" s="123" t="s">
        <v>228</v>
      </c>
      <c r="C26" s="123">
        <v>272.79109999999997</v>
      </c>
      <c r="D26" s="123">
        <v>284.92629999999997</v>
      </c>
      <c r="E26" s="29">
        <v>0.78284106891701832</v>
      </c>
      <c r="F26" s="130">
        <v>13.6</v>
      </c>
      <c r="G26" s="123"/>
      <c r="H26" s="124"/>
      <c r="I26" s="124"/>
      <c r="J26" s="123" t="s">
        <v>228</v>
      </c>
      <c r="K26" s="127">
        <f t="shared" si="0"/>
        <v>348.46293945382678</v>
      </c>
      <c r="L26" s="127">
        <f t="shared" si="1"/>
        <v>363.96442561983463</v>
      </c>
      <c r="M26" s="128">
        <f t="shared" si="2"/>
        <v>-15.501486166007851</v>
      </c>
      <c r="N26" s="124"/>
      <c r="O26" s="124"/>
      <c r="P26" s="123" t="s">
        <v>228</v>
      </c>
      <c r="Q26" s="123">
        <f t="shared" si="3"/>
        <v>20.058169117647058</v>
      </c>
      <c r="R26" s="123">
        <f t="shared" si="4"/>
        <v>20.950463235294116</v>
      </c>
      <c r="S26" s="128">
        <f t="shared" si="5"/>
        <v>-0.89229411764705802</v>
      </c>
      <c r="T26" s="124"/>
      <c r="U26" s="124"/>
      <c r="V26" s="124"/>
    </row>
    <row r="27" spans="1:22" x14ac:dyDescent="0.35">
      <c r="A27" s="124"/>
      <c r="B27" s="123" t="s">
        <v>229</v>
      </c>
      <c r="C27" s="123">
        <v>268.1377</v>
      </c>
      <c r="D27" s="123">
        <v>280.83350000000002</v>
      </c>
      <c r="E27" s="29">
        <v>0.78649789029535866</v>
      </c>
      <c r="F27" s="131">
        <v>15.1</v>
      </c>
      <c r="G27" s="123"/>
      <c r="H27" s="124"/>
      <c r="I27" s="124"/>
      <c r="J27" s="123" t="s">
        <v>229</v>
      </c>
      <c r="K27" s="127">
        <f t="shared" si="0"/>
        <v>340.92615289699569</v>
      </c>
      <c r="L27" s="127">
        <f t="shared" si="1"/>
        <v>357.06834495708154</v>
      </c>
      <c r="M27" s="128">
        <f t="shared" si="2"/>
        <v>-16.142192060085847</v>
      </c>
      <c r="N27" s="124"/>
      <c r="O27" s="124"/>
      <c r="P27" s="123" t="s">
        <v>229</v>
      </c>
      <c r="Q27" s="123">
        <f t="shared" si="3"/>
        <v>17.757463576158941</v>
      </c>
      <c r="R27" s="123">
        <f t="shared" si="4"/>
        <v>18.598245033112583</v>
      </c>
      <c r="S27" s="128">
        <f t="shared" si="5"/>
        <v>-0.8407814569536427</v>
      </c>
      <c r="T27" s="124"/>
      <c r="U27" s="124"/>
      <c r="V27" s="124"/>
    </row>
    <row r="28" spans="1:22" x14ac:dyDescent="0.35">
      <c r="A28" s="124">
        <v>2016</v>
      </c>
      <c r="B28" s="123" t="s">
        <v>226</v>
      </c>
      <c r="C28" s="123">
        <v>257.99959999999999</v>
      </c>
      <c r="D28" s="123">
        <v>274.31479999999999</v>
      </c>
      <c r="E28" s="29">
        <v>0.80450070323488043</v>
      </c>
      <c r="F28" s="130">
        <v>15.4</v>
      </c>
      <c r="G28" s="123"/>
      <c r="H28" s="124"/>
      <c r="I28" s="124">
        <v>2016</v>
      </c>
      <c r="J28" s="123" t="s">
        <v>226</v>
      </c>
      <c r="K28" s="127">
        <f t="shared" si="0"/>
        <v>320.69530699300697</v>
      </c>
      <c r="L28" s="127">
        <f t="shared" si="1"/>
        <v>340.97521468531465</v>
      </c>
      <c r="M28" s="128">
        <f t="shared" si="2"/>
        <v>-20.279907692307688</v>
      </c>
      <c r="N28" s="124"/>
      <c r="O28" s="124">
        <v>2016</v>
      </c>
      <c r="P28" s="123" t="s">
        <v>226</v>
      </c>
      <c r="Q28" s="123">
        <f t="shared" si="3"/>
        <v>16.753220779220779</v>
      </c>
      <c r="R28" s="123">
        <f t="shared" si="4"/>
        <v>17.812649350649348</v>
      </c>
      <c r="S28" s="128">
        <f t="shared" si="5"/>
        <v>-1.0594285714285689</v>
      </c>
      <c r="T28" s="124"/>
      <c r="U28" s="124"/>
      <c r="V28" s="124"/>
    </row>
    <row r="29" spans="1:22" x14ac:dyDescent="0.35">
      <c r="A29" s="124"/>
      <c r="B29" s="123" t="s">
        <v>227</v>
      </c>
      <c r="C29" s="123">
        <v>301.59190000000001</v>
      </c>
      <c r="D29" s="123">
        <v>270.82360000000006</v>
      </c>
      <c r="E29" s="29">
        <v>0.82278481012658233</v>
      </c>
      <c r="F29" s="130">
        <v>15.1</v>
      </c>
      <c r="G29" s="123"/>
      <c r="H29" s="124"/>
      <c r="I29" s="124"/>
      <c r="J29" s="123" t="s">
        <v>227</v>
      </c>
      <c r="K29" s="127">
        <f t="shared" si="0"/>
        <v>366.55015538461538</v>
      </c>
      <c r="L29" s="127">
        <f t="shared" si="1"/>
        <v>329.15483692307697</v>
      </c>
      <c r="M29" s="128">
        <f t="shared" si="2"/>
        <v>37.395318461538409</v>
      </c>
      <c r="N29" s="124"/>
      <c r="O29" s="124"/>
      <c r="P29" s="123" t="s">
        <v>227</v>
      </c>
      <c r="Q29" s="123">
        <f t="shared" si="3"/>
        <v>19.972973509933777</v>
      </c>
      <c r="R29" s="123">
        <f t="shared" si="4"/>
        <v>17.935337748344374</v>
      </c>
      <c r="S29" s="128">
        <f t="shared" si="5"/>
        <v>2.037635761589403</v>
      </c>
      <c r="T29" s="124"/>
      <c r="U29" s="124"/>
      <c r="V29" s="124"/>
    </row>
    <row r="30" spans="1:22" x14ac:dyDescent="0.35">
      <c r="A30" s="124"/>
      <c r="B30" s="123" t="s">
        <v>228</v>
      </c>
      <c r="C30" s="123">
        <v>284.87779999999998</v>
      </c>
      <c r="D30" s="123">
        <v>281.46580000000006</v>
      </c>
      <c r="E30" s="29">
        <v>0.83291139240506329</v>
      </c>
      <c r="F30" s="132">
        <v>14</v>
      </c>
      <c r="G30" s="123"/>
      <c r="H30" s="124"/>
      <c r="I30" s="124"/>
      <c r="J30" s="123" t="s">
        <v>228</v>
      </c>
      <c r="K30" s="127">
        <f t="shared" si="0"/>
        <v>342.02653799392095</v>
      </c>
      <c r="L30" s="127">
        <f t="shared" si="1"/>
        <v>337.93006382978729</v>
      </c>
      <c r="M30" s="128">
        <f t="shared" si="2"/>
        <v>4.0964741641336673</v>
      </c>
      <c r="N30" s="124"/>
      <c r="O30" s="124"/>
      <c r="P30" s="123" t="s">
        <v>228</v>
      </c>
      <c r="Q30" s="123">
        <f t="shared" si="3"/>
        <v>20.348414285714284</v>
      </c>
      <c r="R30" s="123">
        <f t="shared" si="4"/>
        <v>20.104700000000005</v>
      </c>
      <c r="S30" s="128">
        <f t="shared" si="5"/>
        <v>0.24371428571427955</v>
      </c>
      <c r="T30" s="124"/>
      <c r="U30" s="124"/>
      <c r="V30" s="124"/>
    </row>
    <row r="31" spans="1:22" x14ac:dyDescent="0.35">
      <c r="A31" s="124"/>
      <c r="B31" s="123" t="s">
        <v>229</v>
      </c>
      <c r="C31" s="123">
        <v>280.40889999999996</v>
      </c>
      <c r="D31" s="123">
        <v>273.96949999999998</v>
      </c>
      <c r="E31" s="29">
        <v>0.840787623066104</v>
      </c>
      <c r="F31" s="131">
        <v>13.9</v>
      </c>
      <c r="G31" s="123"/>
      <c r="H31" s="124"/>
      <c r="I31" s="124"/>
      <c r="J31" s="123" t="s">
        <v>229</v>
      </c>
      <c r="K31" s="127">
        <f t="shared" si="0"/>
        <v>333.50740699230511</v>
      </c>
      <c r="L31" s="127">
        <f t="shared" si="1"/>
        <v>325.84863583138173</v>
      </c>
      <c r="M31" s="128">
        <f t="shared" si="2"/>
        <v>7.6587711609233793</v>
      </c>
      <c r="N31" s="124"/>
      <c r="O31" s="124"/>
      <c r="P31" s="123" t="s">
        <v>229</v>
      </c>
      <c r="Q31" s="123">
        <f t="shared" si="3"/>
        <v>20.173302158273376</v>
      </c>
      <c r="R31" s="123">
        <f t="shared" si="4"/>
        <v>19.710035971223022</v>
      </c>
      <c r="S31" s="128">
        <f t="shared" si="5"/>
        <v>0.46326618705035472</v>
      </c>
      <c r="T31" s="124"/>
      <c r="U31" s="124"/>
      <c r="V31" s="124"/>
    </row>
    <row r="32" spans="1:22" x14ac:dyDescent="0.35">
      <c r="A32" s="133">
        <v>2017</v>
      </c>
      <c r="B32" s="133" t="s">
        <v>226</v>
      </c>
      <c r="C32" s="127">
        <v>268.72060000000005</v>
      </c>
      <c r="D32" s="127">
        <v>263.7127999999999</v>
      </c>
      <c r="E32" s="29">
        <v>0.85654008438818563</v>
      </c>
      <c r="F32" s="134">
        <v>13.232200000000001</v>
      </c>
      <c r="G32" s="133"/>
      <c r="H32" s="133"/>
      <c r="I32" s="133">
        <v>2017</v>
      </c>
      <c r="J32" s="133" t="s">
        <v>226</v>
      </c>
      <c r="K32" s="127">
        <f t="shared" si="0"/>
        <v>313.72799113300499</v>
      </c>
      <c r="L32" s="127">
        <f t="shared" si="1"/>
        <v>307.88144630541859</v>
      </c>
      <c r="M32" s="128">
        <f t="shared" si="2"/>
        <v>5.8465448275863992</v>
      </c>
      <c r="N32" s="133"/>
      <c r="O32" s="133">
        <v>2017</v>
      </c>
      <c r="P32" s="133" t="s">
        <v>226</v>
      </c>
      <c r="Q32" s="123">
        <f t="shared" si="3"/>
        <v>20.308081800456463</v>
      </c>
      <c r="R32" s="123">
        <f t="shared" si="4"/>
        <v>19.929626214839551</v>
      </c>
      <c r="S32" s="128">
        <f t="shared" si="5"/>
        <v>0.37845558561691206</v>
      </c>
      <c r="T32" s="124"/>
      <c r="U32" s="124"/>
      <c r="V32" s="124"/>
    </row>
    <row r="33" spans="1:22" x14ac:dyDescent="0.35">
      <c r="A33" s="135"/>
      <c r="B33" s="124" t="s">
        <v>227</v>
      </c>
      <c r="C33" s="127">
        <v>298.06640000000004</v>
      </c>
      <c r="D33" s="127">
        <v>273.04000000000002</v>
      </c>
      <c r="E33" s="29">
        <v>0.86638537271448668</v>
      </c>
      <c r="F33" s="134">
        <v>13.210266669999999</v>
      </c>
      <c r="G33" s="124"/>
      <c r="H33" s="124"/>
      <c r="I33" s="135"/>
      <c r="J33" s="124" t="s">
        <v>227</v>
      </c>
      <c r="K33" s="127">
        <f t="shared" si="0"/>
        <v>344.0344324675325</v>
      </c>
      <c r="L33" s="127">
        <f t="shared" si="1"/>
        <v>315.14844155844156</v>
      </c>
      <c r="M33" s="128">
        <f t="shared" si="2"/>
        <v>28.885990909090935</v>
      </c>
      <c r="N33" s="124"/>
      <c r="O33" s="135"/>
      <c r="P33" s="124" t="s">
        <v>227</v>
      </c>
      <c r="Q33" s="123">
        <f t="shared" si="3"/>
        <v>22.563238687444304</v>
      </c>
      <c r="R33" s="123">
        <f t="shared" si="4"/>
        <v>20.668772767476618</v>
      </c>
      <c r="S33" s="128">
        <f t="shared" si="5"/>
        <v>1.8944659199676863</v>
      </c>
      <c r="T33" s="124"/>
      <c r="U33" s="124"/>
      <c r="V33" s="124"/>
    </row>
    <row r="34" spans="1:22" x14ac:dyDescent="0.35">
      <c r="B34" s="124" t="s">
        <v>228</v>
      </c>
      <c r="C34" s="127">
        <v>298.68549999999999</v>
      </c>
      <c r="D34" s="127">
        <v>278.89699999999999</v>
      </c>
      <c r="E34" s="29">
        <v>0.8728551336146273</v>
      </c>
      <c r="F34" s="134">
        <v>13.167766666666665</v>
      </c>
      <c r="G34" s="124"/>
      <c r="H34" s="124"/>
      <c r="I34" s="135"/>
      <c r="J34" s="124" t="s">
        <v>228</v>
      </c>
      <c r="K34" s="127">
        <f t="shared" si="0"/>
        <v>342.19366822429907</v>
      </c>
      <c r="L34" s="127">
        <f t="shared" si="1"/>
        <v>319.5226667740896</v>
      </c>
      <c r="M34" s="128">
        <f t="shared" si="2"/>
        <v>22.671001450209474</v>
      </c>
      <c r="N34" s="124"/>
      <c r="O34" s="135"/>
      <c r="P34" s="124" t="s">
        <v>228</v>
      </c>
      <c r="Q34" s="123">
        <f t="shared" si="3"/>
        <v>22.683079641447677</v>
      </c>
      <c r="R34" s="123">
        <f t="shared" si="4"/>
        <v>21.18028114106923</v>
      </c>
      <c r="S34" s="128">
        <f t="shared" si="5"/>
        <v>1.5027985003784465</v>
      </c>
      <c r="T34" s="124"/>
      <c r="U34" s="124"/>
      <c r="V34" s="124"/>
    </row>
    <row r="35" spans="1:22" x14ac:dyDescent="0.35">
      <c r="B35" s="124" t="s">
        <v>229</v>
      </c>
      <c r="C35" s="127">
        <v>324.68040000000002</v>
      </c>
      <c r="D35" s="127">
        <v>291.56420000000003</v>
      </c>
      <c r="E35" s="29">
        <v>0.88045007032348799</v>
      </c>
      <c r="F35" s="134">
        <v>13.641366666666665</v>
      </c>
      <c r="G35" s="124"/>
      <c r="H35" s="124"/>
      <c r="I35" s="135"/>
      <c r="J35" s="124" t="s">
        <v>229</v>
      </c>
      <c r="K35" s="127">
        <f t="shared" si="0"/>
        <v>368.76639680511187</v>
      </c>
      <c r="L35" s="127">
        <f t="shared" si="1"/>
        <v>331.15358817891376</v>
      </c>
      <c r="M35" s="128">
        <f t="shared" si="2"/>
        <v>37.612808626198103</v>
      </c>
      <c r="N35" s="124"/>
      <c r="O35" s="135"/>
      <c r="P35" s="124" t="s">
        <v>229</v>
      </c>
      <c r="Q35" s="123">
        <f t="shared" si="3"/>
        <v>23.801163617526107</v>
      </c>
      <c r="R35" s="123">
        <f t="shared" si="4"/>
        <v>21.373532954909216</v>
      </c>
      <c r="S35" s="128">
        <f t="shared" si="5"/>
        <v>2.4276306626168918</v>
      </c>
      <c r="T35" s="124"/>
      <c r="U35" s="124"/>
      <c r="V35" s="124"/>
    </row>
    <row r="36" spans="1:22" x14ac:dyDescent="0.35">
      <c r="A36">
        <v>2018</v>
      </c>
      <c r="B36" s="124" t="s">
        <v>226</v>
      </c>
      <c r="C36" s="127">
        <v>269.1558</v>
      </c>
      <c r="D36" s="127">
        <v>287.40730000000002</v>
      </c>
      <c r="E36" s="29">
        <v>0.89170182841068923</v>
      </c>
      <c r="F36" s="134">
        <v>11.953899999999999</v>
      </c>
      <c r="G36" s="124"/>
      <c r="H36" s="124"/>
      <c r="I36" s="135">
        <v>2018</v>
      </c>
      <c r="J36" s="124" t="s">
        <v>226</v>
      </c>
      <c r="K36" s="127">
        <f t="shared" si="0"/>
        <v>301.84506908517346</v>
      </c>
      <c r="L36" s="127">
        <f t="shared" si="1"/>
        <v>322.31323391167194</v>
      </c>
      <c r="M36" s="128">
        <f t="shared" si="2"/>
        <v>-20.46816482649848</v>
      </c>
      <c r="N36" s="124"/>
      <c r="O36" s="135">
        <v>2018</v>
      </c>
      <c r="P36" s="124" t="s">
        <v>226</v>
      </c>
      <c r="Q36" s="123">
        <f t="shared" si="3"/>
        <v>22.516149541153936</v>
      </c>
      <c r="R36" s="123">
        <f t="shared" si="4"/>
        <v>24.042973422899642</v>
      </c>
      <c r="S36" s="128">
        <f t="shared" si="5"/>
        <v>-1.526823881745706</v>
      </c>
      <c r="T36" s="124"/>
      <c r="U36" s="124"/>
      <c r="V36" s="124"/>
    </row>
    <row r="37" spans="1:22" x14ac:dyDescent="0.35">
      <c r="B37" s="124" t="s">
        <v>227</v>
      </c>
      <c r="C37" s="133">
        <v>301.4821</v>
      </c>
      <c r="D37" s="133">
        <v>284.47190000000001</v>
      </c>
      <c r="E37" s="29">
        <v>0.9052039381153304</v>
      </c>
      <c r="F37" s="134">
        <v>12.63</v>
      </c>
      <c r="G37" s="124"/>
      <c r="H37" s="124"/>
      <c r="I37" s="135"/>
      <c r="J37" s="124" t="s">
        <v>227</v>
      </c>
      <c r="K37" s="127">
        <f>C37/E37</f>
        <v>333.0543398073338</v>
      </c>
      <c r="L37" s="127">
        <f>D37/E37</f>
        <v>314.26277330640153</v>
      </c>
      <c r="M37" s="128">
        <f t="shared" si="2"/>
        <v>18.791566500932277</v>
      </c>
      <c r="N37" s="124"/>
      <c r="O37" s="135"/>
      <c r="P37" s="124" t="s">
        <v>227</v>
      </c>
      <c r="Q37" s="123">
        <f t="shared" si="3"/>
        <v>23.870316706254947</v>
      </c>
      <c r="R37" s="123">
        <f t="shared" si="4"/>
        <v>22.523507521773553</v>
      </c>
      <c r="S37" s="128">
        <f t="shared" si="5"/>
        <v>1.3468091844813941</v>
      </c>
      <c r="T37" s="124"/>
      <c r="U37" s="124"/>
      <c r="V37" s="124"/>
    </row>
    <row r="38" spans="1:22" x14ac:dyDescent="0.35">
      <c r="B38" s="124" t="s">
        <v>228</v>
      </c>
      <c r="C38" s="133">
        <v>337.30500000000001</v>
      </c>
      <c r="D38" s="133">
        <v>336.78199999999998</v>
      </c>
      <c r="E38" s="29">
        <v>0.91645569620253176</v>
      </c>
      <c r="F38" s="134">
        <v>14.0944</v>
      </c>
      <c r="G38" s="124"/>
      <c r="H38" s="124"/>
      <c r="I38" s="135"/>
      <c r="J38" s="124" t="s">
        <v>228</v>
      </c>
      <c r="K38" s="127">
        <f>C38/E38</f>
        <v>368.05379834254143</v>
      </c>
      <c r="L38" s="127">
        <f>D38/E38</f>
        <v>367.48312154696129</v>
      </c>
      <c r="M38" s="128">
        <f t="shared" si="2"/>
        <v>0.57067679558014106</v>
      </c>
      <c r="N38" s="124"/>
      <c r="O38" s="135"/>
      <c r="P38" s="124" t="s">
        <v>228</v>
      </c>
      <c r="Q38" s="123">
        <f t="shared" si="3"/>
        <v>23.931845271881031</v>
      </c>
      <c r="R38" s="123">
        <f t="shared" si="4"/>
        <v>23.894738335792937</v>
      </c>
      <c r="S38" s="128">
        <f t="shared" si="5"/>
        <v>3.7106936088093789E-2</v>
      </c>
      <c r="T38" s="124"/>
      <c r="U38" s="124"/>
      <c r="V38" s="124"/>
    </row>
    <row r="39" spans="1:22" x14ac:dyDescent="0.35">
      <c r="B39" s="124" t="s">
        <v>229</v>
      </c>
      <c r="C39" s="133">
        <v>343.05200000000002</v>
      </c>
      <c r="D39" s="133">
        <v>326.88400000000001</v>
      </c>
      <c r="E39" s="29">
        <v>0.91926863572433193</v>
      </c>
      <c r="F39" s="134">
        <v>14.26</v>
      </c>
      <c r="G39" s="124"/>
      <c r="H39" s="124"/>
      <c r="I39" s="135"/>
      <c r="J39" s="124" t="s">
        <v>229</v>
      </c>
      <c r="K39" s="127">
        <f>C39/E39</f>
        <v>373.1792717258262</v>
      </c>
      <c r="L39" s="127">
        <f>D39/E39</f>
        <v>355.59137698898411</v>
      </c>
      <c r="M39" s="128">
        <f t="shared" si="2"/>
        <v>17.587894736842088</v>
      </c>
      <c r="N39" s="124"/>
      <c r="O39" s="135"/>
      <c r="P39" s="124" t="s">
        <v>229</v>
      </c>
      <c r="Q39" s="123">
        <f t="shared" si="3"/>
        <v>24.05694249649369</v>
      </c>
      <c r="R39" s="123">
        <f t="shared" si="4"/>
        <v>22.923141654978963</v>
      </c>
      <c r="S39" s="128">
        <f t="shared" si="5"/>
        <v>1.1338008415147272</v>
      </c>
      <c r="T39" s="124"/>
      <c r="U39" s="124"/>
      <c r="V39" s="124"/>
    </row>
    <row r="40" spans="1:22" x14ac:dyDescent="0.35">
      <c r="A40" s="135">
        <v>2019</v>
      </c>
      <c r="B40" s="124" t="s">
        <v>226</v>
      </c>
      <c r="C40" s="133">
        <v>292.12299999999999</v>
      </c>
      <c r="D40" s="133">
        <v>296.31799999999998</v>
      </c>
      <c r="E40" s="29">
        <v>0.92911392405063298</v>
      </c>
      <c r="F40" s="134">
        <v>14.01</v>
      </c>
      <c r="G40" s="124"/>
      <c r="H40" s="124"/>
      <c r="I40" s="135">
        <v>2019</v>
      </c>
      <c r="J40" s="124" t="s">
        <v>226</v>
      </c>
      <c r="K40" s="127">
        <f t="shared" ref="K40:K45" si="6">+C40/E40</f>
        <v>314.41031335149859</v>
      </c>
      <c r="L40" s="127">
        <f t="shared" ref="L40:L45" si="7">+D40/E40</f>
        <v>318.92536784741139</v>
      </c>
      <c r="M40" s="128">
        <f t="shared" si="2"/>
        <v>-4.5150544959128069</v>
      </c>
      <c r="N40" s="124"/>
      <c r="O40" s="135">
        <v>2019</v>
      </c>
      <c r="P40" s="124" t="s">
        <v>226</v>
      </c>
      <c r="Q40" s="123">
        <f t="shared" si="3"/>
        <v>20.851034975017843</v>
      </c>
      <c r="R40" s="123">
        <f t="shared" si="4"/>
        <v>21.150463954318344</v>
      </c>
      <c r="S40" s="128">
        <f t="shared" si="5"/>
        <v>-0.29942897930050094</v>
      </c>
      <c r="T40" s="124"/>
      <c r="U40" s="124"/>
      <c r="V40" s="124"/>
    </row>
    <row r="41" spans="1:22" x14ac:dyDescent="0.35">
      <c r="A41" s="135"/>
      <c r="B41" s="124" t="s">
        <v>227</v>
      </c>
      <c r="C41" s="133">
        <f>+(103640+111785+109196)/1000</f>
        <v>324.62099999999998</v>
      </c>
      <c r="D41" s="133">
        <f>+(107165+110089+103655)/1000</f>
        <v>320.90899999999999</v>
      </c>
      <c r="E41" s="29">
        <v>0.94542897327707465</v>
      </c>
      <c r="F41" s="134">
        <v>14.386666666666665</v>
      </c>
      <c r="G41" s="90"/>
      <c r="H41" s="124"/>
      <c r="I41" s="135"/>
      <c r="J41" s="124" t="s">
        <v>227</v>
      </c>
      <c r="K41" s="127">
        <f t="shared" si="6"/>
        <v>343.358421600714</v>
      </c>
      <c r="L41" s="127">
        <f t="shared" si="7"/>
        <v>339.43216155905975</v>
      </c>
      <c r="M41" s="128">
        <f t="shared" si="2"/>
        <v>3.9262600416542455</v>
      </c>
      <c r="N41" s="124"/>
      <c r="O41" s="135"/>
      <c r="P41" s="124" t="s">
        <v>227</v>
      </c>
      <c r="Q41" s="123">
        <f t="shared" si="3"/>
        <v>22.564017608897128</v>
      </c>
      <c r="R41" s="123">
        <f t="shared" si="4"/>
        <v>22.306000926784062</v>
      </c>
      <c r="S41" s="128">
        <f t="shared" si="5"/>
        <v>0.25801668211306605</v>
      </c>
      <c r="T41" s="124"/>
      <c r="U41" s="124"/>
      <c r="V41" s="124"/>
    </row>
    <row r="42" spans="1:22" x14ac:dyDescent="0.35">
      <c r="B42" s="124" t="s">
        <v>228</v>
      </c>
      <c r="C42" s="133">
        <f>+(112561+119746+110439)/1000</f>
        <v>342.74599999999998</v>
      </c>
      <c r="D42" s="133">
        <f>+(116286+115204+105275)/1000</f>
        <v>336.76499999999999</v>
      </c>
      <c r="E42" s="29">
        <v>0.95443037974683531</v>
      </c>
      <c r="F42" s="134">
        <v>14.68</v>
      </c>
      <c r="G42" s="90"/>
      <c r="I42" s="1"/>
      <c r="J42" s="124" t="s">
        <v>228</v>
      </c>
      <c r="K42" s="127">
        <f t="shared" si="6"/>
        <v>359.11053050397879</v>
      </c>
      <c r="L42" s="127">
        <f t="shared" si="7"/>
        <v>352.84396551724143</v>
      </c>
      <c r="M42" s="128">
        <f t="shared" si="2"/>
        <v>6.2665649867373645</v>
      </c>
      <c r="P42" s="124" t="s">
        <v>228</v>
      </c>
      <c r="Q42" s="123">
        <f t="shared" si="3"/>
        <v>23.347820163487736</v>
      </c>
      <c r="R42" s="123">
        <f t="shared" si="4"/>
        <v>22.940395095367847</v>
      </c>
      <c r="S42" s="128">
        <f t="shared" si="5"/>
        <v>0.40742506811988832</v>
      </c>
    </row>
    <row r="43" spans="1:22" x14ac:dyDescent="0.35">
      <c r="B43" s="124" t="s">
        <v>229</v>
      </c>
      <c r="C43" s="133">
        <f>+(122843+116330+103313)/1000</f>
        <v>342.48599999999999</v>
      </c>
      <c r="D43" s="133">
        <f>+(120091+110686+88467)/1000</f>
        <v>319.24400000000003</v>
      </c>
      <c r="E43" s="29">
        <v>0.95836849507735578</v>
      </c>
      <c r="F43" s="134">
        <v>14.72</v>
      </c>
      <c r="G43" s="90"/>
      <c r="I43" s="1"/>
      <c r="J43" s="124" t="s">
        <v>229</v>
      </c>
      <c r="K43" s="127">
        <f t="shared" si="6"/>
        <v>357.36358379806285</v>
      </c>
      <c r="L43" s="127">
        <f t="shared" si="7"/>
        <v>333.11195186380985</v>
      </c>
      <c r="M43" s="128">
        <f t="shared" si="2"/>
        <v>24.251631934252998</v>
      </c>
      <c r="P43" s="124" t="s">
        <v>229</v>
      </c>
      <c r="Q43" s="123">
        <f t="shared" si="3"/>
        <v>23.266711956521739</v>
      </c>
      <c r="R43" s="123">
        <f t="shared" si="4"/>
        <v>21.687771739130437</v>
      </c>
      <c r="S43" s="128">
        <f t="shared" si="5"/>
        <v>1.5789402173913025</v>
      </c>
    </row>
    <row r="44" spans="1:22" x14ac:dyDescent="0.35">
      <c r="A44">
        <v>2020</v>
      </c>
      <c r="B44" s="124" t="s">
        <v>226</v>
      </c>
      <c r="C44" s="133">
        <v>328.50299999999999</v>
      </c>
      <c r="D44" s="133">
        <v>293.26499999999999</v>
      </c>
      <c r="E44" s="29">
        <v>0.97018284106891695</v>
      </c>
      <c r="F44" s="134">
        <v>15.34</v>
      </c>
      <c r="G44" s="90"/>
      <c r="I44">
        <v>2020</v>
      </c>
      <c r="J44" s="124" t="s">
        <v>226</v>
      </c>
      <c r="K44" s="127">
        <f t="shared" si="6"/>
        <v>338.59906204697018</v>
      </c>
      <c r="L44" s="127">
        <f t="shared" si="7"/>
        <v>302.27807335459556</v>
      </c>
      <c r="M44" s="128">
        <f t="shared" si="2"/>
        <v>36.320988692374613</v>
      </c>
      <c r="O44">
        <v>2020</v>
      </c>
      <c r="P44" s="124" t="s">
        <v>226</v>
      </c>
      <c r="Q44" s="123">
        <f t="shared" si="3"/>
        <v>21.414797913950455</v>
      </c>
      <c r="R44" s="123">
        <f t="shared" si="4"/>
        <v>19.11766623207301</v>
      </c>
      <c r="S44" s="128">
        <f>Q44-R44</f>
        <v>2.2971316818774454</v>
      </c>
    </row>
    <row r="45" spans="1:22" x14ac:dyDescent="0.35">
      <c r="B45" s="124" t="s">
        <v>227</v>
      </c>
      <c r="C45" s="133">
        <v>273.863</v>
      </c>
      <c r="D45" s="133">
        <v>243.488</v>
      </c>
      <c r="E45" s="29">
        <v>0.96821378340365694</v>
      </c>
      <c r="F45" s="134">
        <v>17.95</v>
      </c>
      <c r="G45" s="90"/>
      <c r="J45" s="124" t="s">
        <v>227</v>
      </c>
      <c r="K45" s="127">
        <f t="shared" si="6"/>
        <v>282.85385386403249</v>
      </c>
      <c r="L45" s="127">
        <f t="shared" si="7"/>
        <v>251.48165020337009</v>
      </c>
      <c r="M45" s="128">
        <f t="shared" si="2"/>
        <v>31.372203660662393</v>
      </c>
      <c r="P45" s="124" t="s">
        <v>227</v>
      </c>
      <c r="Q45" s="123">
        <f t="shared" si="3"/>
        <v>15.25699164345404</v>
      </c>
      <c r="R45" s="123">
        <f t="shared" si="4"/>
        <v>13.564791086350976</v>
      </c>
      <c r="S45" s="128">
        <f>Q45-R45</f>
        <v>1.6922005571030638</v>
      </c>
    </row>
    <row r="46" spans="1:22" x14ac:dyDescent="0.35">
      <c r="B46" s="124" t="s">
        <v>228</v>
      </c>
      <c r="C46" s="133">
        <v>387.89499999999998</v>
      </c>
      <c r="D46" s="133">
        <v>278.45</v>
      </c>
      <c r="E46" s="29">
        <v>0.98396624472573846</v>
      </c>
      <c r="F46" s="134">
        <v>16.91</v>
      </c>
      <c r="J46" s="124" t="s">
        <v>228</v>
      </c>
      <c r="K46" s="127">
        <f>+C46/E46</f>
        <v>394.21575900514574</v>
      </c>
      <c r="L46" s="127">
        <f>+D46/E46</f>
        <v>282.98734991423669</v>
      </c>
      <c r="M46" s="128">
        <f t="shared" si="2"/>
        <v>111.22840909090905</v>
      </c>
      <c r="P46" s="124" t="s">
        <v>228</v>
      </c>
      <c r="Q46" s="123">
        <f t="shared" si="3"/>
        <v>22.938793613246599</v>
      </c>
      <c r="R46" s="123">
        <f t="shared" si="4"/>
        <v>16.466587817859253</v>
      </c>
      <c r="S46" s="128">
        <f>Q46-R46</f>
        <v>6.472205795387346</v>
      </c>
    </row>
    <row r="47" spans="1:22" x14ac:dyDescent="0.35">
      <c r="B47" s="124" t="s">
        <v>229</v>
      </c>
      <c r="C47" s="133">
        <v>412.05200000000002</v>
      </c>
      <c r="D47" s="133">
        <v>308.78199999999998</v>
      </c>
      <c r="E47" s="29">
        <v>0.98874824191279886</v>
      </c>
      <c r="F47" s="134">
        <v>15.66</v>
      </c>
      <c r="J47" s="124" t="s">
        <v>229</v>
      </c>
      <c r="K47" s="127">
        <f>+C47/E47</f>
        <v>416.74106970128025</v>
      </c>
      <c r="L47" s="127">
        <f>+D47/E47</f>
        <v>312.29587766714081</v>
      </c>
      <c r="M47" s="128">
        <f t="shared" si="2"/>
        <v>104.44519203413944</v>
      </c>
      <c r="P47" s="124" t="s">
        <v>229</v>
      </c>
      <c r="Q47" s="123">
        <f t="shared" si="3"/>
        <v>26.312388250319287</v>
      </c>
      <c r="R47" s="123">
        <f t="shared" si="4"/>
        <v>19.71787994891443</v>
      </c>
      <c r="S47" s="128">
        <f>Q47-R47</f>
        <v>6.5945083014048578</v>
      </c>
    </row>
    <row r="48" spans="1:22" x14ac:dyDescent="0.35">
      <c r="A48">
        <v>2021</v>
      </c>
      <c r="B48" s="124" t="s">
        <v>226</v>
      </c>
      <c r="C48" s="133">
        <v>408.91500000000002</v>
      </c>
      <c r="D48" s="133">
        <v>312.50099999999998</v>
      </c>
      <c r="E48" s="29">
        <v>1</v>
      </c>
      <c r="F48" s="134">
        <v>14.96</v>
      </c>
      <c r="I48">
        <v>2021</v>
      </c>
      <c r="J48" s="124" t="s">
        <v>226</v>
      </c>
      <c r="K48" s="127">
        <f>+C48/E48</f>
        <v>408.91500000000002</v>
      </c>
      <c r="L48" s="127">
        <f>+D48/E48</f>
        <v>312.50099999999998</v>
      </c>
      <c r="M48" s="128">
        <f t="shared" si="2"/>
        <v>96.414000000000044</v>
      </c>
      <c r="O48">
        <v>2021</v>
      </c>
      <c r="P48" s="124" t="s">
        <v>226</v>
      </c>
      <c r="Q48" s="123">
        <f t="shared" si="3"/>
        <v>27.333890374331549</v>
      </c>
      <c r="R48" s="123">
        <f t="shared" si="4"/>
        <v>20.889104278074864</v>
      </c>
      <c r="S48" s="128">
        <f>Q48-R48</f>
        <v>6.444786096256685</v>
      </c>
    </row>
    <row r="49" spans="1:17" x14ac:dyDescent="0.35">
      <c r="B49" s="124"/>
      <c r="C49" s="133"/>
      <c r="F49" s="136"/>
      <c r="J49" s="124"/>
      <c r="K49" s="29"/>
      <c r="L49" s="29"/>
      <c r="M49" s="29"/>
      <c r="P49" s="124"/>
      <c r="Q49" s="123"/>
    </row>
    <row r="50" spans="1:17" x14ac:dyDescent="0.35">
      <c r="B50" s="124"/>
      <c r="J50" s="124"/>
      <c r="K50" s="29"/>
      <c r="L50" s="29"/>
      <c r="P50" s="124"/>
    </row>
    <row r="51" spans="1:17" x14ac:dyDescent="0.35">
      <c r="B51" s="124"/>
      <c r="J51" s="124"/>
      <c r="P51" s="124"/>
    </row>
    <row r="54" spans="1:17" x14ac:dyDescent="0.35">
      <c r="A54" s="135" t="s">
        <v>230</v>
      </c>
    </row>
    <row r="84" spans="3:3" x14ac:dyDescent="0.35">
      <c r="C84" s="29"/>
    </row>
    <row r="85" spans="3:3" x14ac:dyDescent="0.35">
      <c r="C85" s="29"/>
    </row>
    <row r="86" spans="3:3" x14ac:dyDescent="0.35">
      <c r="C86" s="29"/>
    </row>
    <row r="87" spans="3:3" x14ac:dyDescent="0.35">
      <c r="C87" s="29"/>
    </row>
    <row r="88" spans="3:3" x14ac:dyDescent="0.35">
      <c r="C88" s="29"/>
    </row>
    <row r="89" spans="3:3" x14ac:dyDescent="0.35">
      <c r="C89" s="29"/>
    </row>
    <row r="90" spans="3:3" x14ac:dyDescent="0.35">
      <c r="C90" s="29"/>
    </row>
    <row r="91" spans="3:3" x14ac:dyDescent="0.35">
      <c r="C91" s="29"/>
    </row>
    <row r="92" spans="3:3" x14ac:dyDescent="0.35">
      <c r="C92" s="29"/>
    </row>
    <row r="93" spans="3:3" x14ac:dyDescent="0.35">
      <c r="C93" s="29"/>
    </row>
    <row r="94" spans="3:3" x14ac:dyDescent="0.35">
      <c r="C94" s="29"/>
    </row>
    <row r="95" spans="3:3" x14ac:dyDescent="0.35">
      <c r="C95" s="29"/>
    </row>
    <row r="96" spans="3:3" x14ac:dyDescent="0.35">
      <c r="C96" s="29"/>
    </row>
    <row r="97" spans="3:3" x14ac:dyDescent="0.35">
      <c r="C97" s="29"/>
    </row>
    <row r="98" spans="3:3" x14ac:dyDescent="0.35">
      <c r="C98" s="29"/>
    </row>
    <row r="99" spans="3:3" x14ac:dyDescent="0.35">
      <c r="C99" s="29"/>
    </row>
    <row r="100" spans="3:3" x14ac:dyDescent="0.35">
      <c r="C100" s="29"/>
    </row>
    <row r="101" spans="3:3" x14ac:dyDescent="0.35">
      <c r="C101" s="29"/>
    </row>
    <row r="102" spans="3:3" x14ac:dyDescent="0.35">
      <c r="C102" s="29"/>
    </row>
    <row r="103" spans="3:3" x14ac:dyDescent="0.35">
      <c r="C103" s="29"/>
    </row>
    <row r="104" spans="3:3" x14ac:dyDescent="0.35">
      <c r="C104" s="29"/>
    </row>
    <row r="105" spans="3:3" x14ac:dyDescent="0.35">
      <c r="C105" s="29"/>
    </row>
    <row r="106" spans="3:3" x14ac:dyDescent="0.35">
      <c r="C106" s="29"/>
    </row>
    <row r="107" spans="3:3" x14ac:dyDescent="0.35">
      <c r="C107" s="29"/>
    </row>
    <row r="108" spans="3:3" x14ac:dyDescent="0.35">
      <c r="C108" s="29"/>
    </row>
    <row r="109" spans="3:3" x14ac:dyDescent="0.35">
      <c r="C109" s="29"/>
    </row>
    <row r="110" spans="3:3" x14ac:dyDescent="0.35">
      <c r="C110" s="29"/>
    </row>
    <row r="111" spans="3:3" x14ac:dyDescent="0.35">
      <c r="C111" s="29"/>
    </row>
    <row r="112" spans="3:3" x14ac:dyDescent="0.35">
      <c r="C112" s="29"/>
    </row>
    <row r="113" spans="3:3" x14ac:dyDescent="0.35">
      <c r="C113" s="29"/>
    </row>
    <row r="114" spans="3:3" x14ac:dyDescent="0.35">
      <c r="C114" s="29"/>
    </row>
    <row r="115" spans="3:3" x14ac:dyDescent="0.35">
      <c r="C115" s="29"/>
    </row>
    <row r="116" spans="3:3" x14ac:dyDescent="0.35">
      <c r="C116" s="29"/>
    </row>
    <row r="117" spans="3:3" x14ac:dyDescent="0.35">
      <c r="C117" s="29"/>
    </row>
    <row r="118" spans="3:3" x14ac:dyDescent="0.35">
      <c r="C118" s="29"/>
    </row>
    <row r="119" spans="3:3" x14ac:dyDescent="0.35">
      <c r="C119" s="29"/>
    </row>
    <row r="120" spans="3:3" x14ac:dyDescent="0.35">
      <c r="C120" s="29"/>
    </row>
    <row r="121" spans="3:3" x14ac:dyDescent="0.35">
      <c r="C121" s="29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zoomScale="58" zoomScaleNormal="58" workbookViewId="0">
      <selection activeCell="A11" sqref="A11"/>
    </sheetView>
  </sheetViews>
  <sheetFormatPr defaultColWidth="8.90625" defaultRowHeight="14.5" x14ac:dyDescent="0.35"/>
  <cols>
    <col min="1" max="1" width="19.54296875" bestFit="1" customWidth="1"/>
    <col min="39" max="39" width="9.54296875" bestFit="1" customWidth="1"/>
  </cols>
  <sheetData>
    <row r="1" spans="1:40" ht="21" x14ac:dyDescent="0.5">
      <c r="A1" s="137" t="s">
        <v>251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4.4" customHeight="1" x14ac:dyDescent="0.35">
      <c r="A2" t="s">
        <v>252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4.4" customHeigh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35">
      <c r="A4" s="138" t="s">
        <v>231</v>
      </c>
      <c r="B4" s="1" t="s">
        <v>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 t="s">
        <v>12</v>
      </c>
      <c r="P4" s="1"/>
      <c r="Q4" s="1"/>
      <c r="R4" s="1"/>
      <c r="S4" s="1"/>
      <c r="T4" s="1"/>
      <c r="U4" s="1"/>
      <c r="V4" s="1"/>
      <c r="W4" s="1"/>
      <c r="X4" s="1"/>
      <c r="Y4" s="1"/>
      <c r="AA4" s="1"/>
      <c r="AB4" s="1" t="s">
        <v>130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35">
      <c r="A5" s="138"/>
      <c r="B5" s="1">
        <v>2010</v>
      </c>
      <c r="C5" s="1">
        <v>2011</v>
      </c>
      <c r="D5" s="1">
        <v>2012</v>
      </c>
      <c r="E5" s="1">
        <v>2013</v>
      </c>
      <c r="F5" s="1">
        <v>2014</v>
      </c>
      <c r="G5" s="1">
        <v>2015</v>
      </c>
      <c r="H5" s="1">
        <v>2016</v>
      </c>
      <c r="I5" s="1">
        <v>2017</v>
      </c>
      <c r="J5" s="1">
        <v>2018</v>
      </c>
      <c r="K5" s="1">
        <v>2019</v>
      </c>
      <c r="L5" s="1">
        <v>2020</v>
      </c>
      <c r="M5" s="1">
        <v>2021</v>
      </c>
      <c r="N5" s="1"/>
      <c r="O5" s="1">
        <v>2010</v>
      </c>
      <c r="P5" s="1">
        <v>2011</v>
      </c>
      <c r="Q5" s="1">
        <v>2012</v>
      </c>
      <c r="R5" s="1">
        <v>2013</v>
      </c>
      <c r="S5" s="1">
        <v>2014</v>
      </c>
      <c r="T5" s="1">
        <v>2015</v>
      </c>
      <c r="U5" s="1">
        <v>2016</v>
      </c>
      <c r="V5" s="1">
        <v>2017</v>
      </c>
      <c r="W5" s="1">
        <v>2018</v>
      </c>
      <c r="X5" s="1">
        <v>2019</v>
      </c>
      <c r="Y5" s="1">
        <v>2020</v>
      </c>
      <c r="Z5" s="1">
        <v>2021</v>
      </c>
      <c r="AA5" s="1"/>
      <c r="AB5" s="1">
        <v>2010</v>
      </c>
      <c r="AC5" s="1">
        <v>2011</v>
      </c>
      <c r="AD5" s="1">
        <v>2012</v>
      </c>
      <c r="AE5" s="1">
        <v>2013</v>
      </c>
      <c r="AF5" s="1">
        <v>2014</v>
      </c>
      <c r="AG5" s="1">
        <v>2015</v>
      </c>
      <c r="AH5" s="1">
        <v>2016</v>
      </c>
      <c r="AI5" s="1">
        <v>2017</v>
      </c>
      <c r="AJ5" s="1">
        <v>2018</v>
      </c>
      <c r="AK5" s="1">
        <v>2019</v>
      </c>
      <c r="AL5" s="1">
        <v>2020</v>
      </c>
      <c r="AM5" s="161">
        <v>2021</v>
      </c>
      <c r="AN5" s="1"/>
    </row>
    <row r="6" spans="1:40" x14ac:dyDescent="0.35">
      <c r="B6" s="62">
        <v>10.303861739338766</v>
      </c>
      <c r="C6" s="62">
        <v>11.008184757505772</v>
      </c>
      <c r="D6" s="62">
        <v>11.251520878642889</v>
      </c>
      <c r="E6" s="62">
        <v>13.266885943279902</v>
      </c>
      <c r="F6" s="62">
        <v>18.368696040372669</v>
      </c>
      <c r="G6" s="62">
        <v>18.166526825633383</v>
      </c>
      <c r="H6" s="62">
        <v>21.586059440559442</v>
      </c>
      <c r="I6" s="62">
        <v>20.733530541871922</v>
      </c>
      <c r="J6" s="62">
        <v>18.375649211356468</v>
      </c>
      <c r="K6" s="62">
        <v>18.867008174386925</v>
      </c>
      <c r="L6" s="62">
        <v>22.739218904030157</v>
      </c>
      <c r="M6" s="62">
        <v>24.635399999999997</v>
      </c>
      <c r="N6" s="1"/>
      <c r="O6" s="62">
        <v>99.351603737422167</v>
      </c>
      <c r="P6" s="62">
        <v>125.10003949191685</v>
      </c>
      <c r="Q6" s="62">
        <v>133.97494541104828</v>
      </c>
      <c r="R6" s="62">
        <v>128.90915104808877</v>
      </c>
      <c r="S6" s="62">
        <v>141.35347942546579</v>
      </c>
      <c r="T6" s="62">
        <v>120.37343908345754</v>
      </c>
      <c r="U6" s="62">
        <v>119.94607290209791</v>
      </c>
      <c r="V6" s="62">
        <v>131.46681871921183</v>
      </c>
      <c r="W6" s="62">
        <v>125.43071735015772</v>
      </c>
      <c r="X6" s="62">
        <v>134.12467166212534</v>
      </c>
      <c r="Y6" s="62">
        <v>155.83361568570604</v>
      </c>
      <c r="Z6" s="90">
        <v>208.65700000000001</v>
      </c>
      <c r="AA6" s="1"/>
      <c r="AB6" s="62">
        <v>109.27742946813611</v>
      </c>
      <c r="AC6" s="62">
        <v>122.07295288683602</v>
      </c>
      <c r="AD6" s="62">
        <v>120.07890039147456</v>
      </c>
      <c r="AE6" s="62">
        <v>119.27631381011096</v>
      </c>
      <c r="AF6" s="62">
        <v>171.54420652173914</v>
      </c>
      <c r="AG6" s="62">
        <v>172.06981464232493</v>
      </c>
      <c r="AH6" s="62">
        <v>179.16317465034965</v>
      </c>
      <c r="AI6" s="62">
        <v>161.52764187192113</v>
      </c>
      <c r="AJ6" s="62">
        <v>158.03870252365928</v>
      </c>
      <c r="AK6" s="62">
        <v>161.08390599455038</v>
      </c>
      <c r="AL6" s="62">
        <v>159.64547448535808</v>
      </c>
      <c r="AM6" s="160">
        <v>175.62269999999998</v>
      </c>
      <c r="AN6" s="1"/>
    </row>
    <row r="7" spans="1:40" x14ac:dyDescent="0.35">
      <c r="A7" s="13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60"/>
      <c r="AN7" s="1"/>
    </row>
    <row r="8" spans="1:40" x14ac:dyDescent="0.35">
      <c r="A8" s="138" t="s">
        <v>232</v>
      </c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12</v>
      </c>
      <c r="P8" s="1"/>
      <c r="Q8" s="1"/>
      <c r="R8" s="1"/>
      <c r="S8" s="1"/>
      <c r="T8" s="1"/>
      <c r="U8" s="1"/>
      <c r="V8" s="1"/>
      <c r="W8" s="1"/>
      <c r="X8" s="1"/>
      <c r="Y8" s="1"/>
      <c r="AA8" s="1"/>
      <c r="AB8" s="1" t="s">
        <v>130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60"/>
      <c r="AN8" s="1"/>
    </row>
    <row r="9" spans="1:40" x14ac:dyDescent="0.35">
      <c r="A9" s="49"/>
      <c r="B9" s="1">
        <v>2010</v>
      </c>
      <c r="C9" s="1">
        <v>2011</v>
      </c>
      <c r="D9" s="1">
        <v>2012</v>
      </c>
      <c r="E9" s="1">
        <v>2013</v>
      </c>
      <c r="F9" s="1">
        <v>2014</v>
      </c>
      <c r="G9" s="1">
        <v>2015</v>
      </c>
      <c r="H9" s="1">
        <v>2016</v>
      </c>
      <c r="I9" s="1">
        <v>2017</v>
      </c>
      <c r="J9" s="1">
        <v>2018</v>
      </c>
      <c r="K9" s="1">
        <v>2019</v>
      </c>
      <c r="L9" s="1">
        <v>2020</v>
      </c>
      <c r="M9" s="1">
        <v>2021</v>
      </c>
      <c r="N9" s="1"/>
      <c r="O9" s="1">
        <v>2010</v>
      </c>
      <c r="P9" s="1">
        <v>2011</v>
      </c>
      <c r="Q9" s="1">
        <v>2012</v>
      </c>
      <c r="R9" s="1">
        <v>2013</v>
      </c>
      <c r="S9" s="1">
        <v>2014</v>
      </c>
      <c r="T9" s="1">
        <v>2015</v>
      </c>
      <c r="U9" s="1">
        <v>2016</v>
      </c>
      <c r="V9" s="1">
        <v>2017</v>
      </c>
      <c r="W9" s="1">
        <v>2018</v>
      </c>
      <c r="X9" s="1">
        <v>2019</v>
      </c>
      <c r="Y9" s="1">
        <v>2020</v>
      </c>
      <c r="Z9" s="1">
        <v>2021</v>
      </c>
      <c r="AA9" s="1"/>
      <c r="AB9" s="1">
        <v>2010</v>
      </c>
      <c r="AC9" s="1">
        <v>2011</v>
      </c>
      <c r="AD9" s="1">
        <v>2012</v>
      </c>
      <c r="AE9" s="1">
        <v>2013</v>
      </c>
      <c r="AF9" s="1">
        <v>2014</v>
      </c>
      <c r="AG9" s="1">
        <v>2015</v>
      </c>
      <c r="AH9" s="1">
        <v>2016</v>
      </c>
      <c r="AI9" s="1">
        <v>2017</v>
      </c>
      <c r="AJ9" s="1">
        <v>2018</v>
      </c>
      <c r="AK9" s="1">
        <v>2019</v>
      </c>
      <c r="AL9" s="1">
        <v>2020</v>
      </c>
      <c r="AM9" s="162">
        <v>2021</v>
      </c>
      <c r="AN9" s="1"/>
    </row>
    <row r="10" spans="1:40" x14ac:dyDescent="0.35">
      <c r="B10" s="62">
        <v>0.80479159456381888</v>
      </c>
      <c r="C10" s="62">
        <v>0.9574418923756477</v>
      </c>
      <c r="D10" s="62">
        <v>0.93869316562685567</v>
      </c>
      <c r="E10" s="62">
        <v>1.0135745038537194</v>
      </c>
      <c r="F10" s="62">
        <v>1.2250780355933928</v>
      </c>
      <c r="G10" s="62">
        <v>1.1670442332551034</v>
      </c>
      <c r="H10" s="62">
        <v>1.0997582758606366</v>
      </c>
      <c r="I10" s="62">
        <v>1.3444455893573117</v>
      </c>
      <c r="J10" s="62">
        <v>1.3708170149394427</v>
      </c>
      <c r="K10" s="62">
        <v>1.2508587657865642</v>
      </c>
      <c r="L10" s="62">
        <v>1.4363000586195203</v>
      </c>
      <c r="M10" s="62">
        <v>1.6471605774382185</v>
      </c>
      <c r="N10" s="1"/>
      <c r="O10" s="62">
        <v>7.773057080088309</v>
      </c>
      <c r="P10" s="62">
        <v>10.888346247093207</v>
      </c>
      <c r="Q10" s="62">
        <v>11.181143054980231</v>
      </c>
      <c r="R10" s="62">
        <v>9.8572189581452179</v>
      </c>
      <c r="S10" s="62">
        <v>9.4208474342899304</v>
      </c>
      <c r="T10" s="62">
        <v>7.7323819383716277</v>
      </c>
      <c r="U10" s="62">
        <v>6.1107384073830335</v>
      </c>
      <c r="V10" s="62">
        <v>8.5177015357671237</v>
      </c>
      <c r="W10" s="62">
        <v>9.3640226065974712</v>
      </c>
      <c r="X10" s="62">
        <v>8.887764142387077</v>
      </c>
      <c r="Y10" s="62">
        <v>9.8758893251795339</v>
      </c>
      <c r="Z10" s="64">
        <v>13.955572378489331</v>
      </c>
      <c r="AA10" s="1"/>
      <c r="AB10" s="62">
        <v>8.5452818530198318</v>
      </c>
      <c r="AC10" s="62">
        <v>10.62227149928246</v>
      </c>
      <c r="AD10" s="62">
        <v>10.037995920750518</v>
      </c>
      <c r="AE10" s="62">
        <v>9.1121193875059774</v>
      </c>
      <c r="AF10" s="62">
        <v>11.439655068597791</v>
      </c>
      <c r="AG10" s="62">
        <v>11.04615006418123</v>
      </c>
      <c r="AH10" s="62">
        <v>9.1358345392774858</v>
      </c>
      <c r="AI10" s="62">
        <v>10.490311109133925</v>
      </c>
      <c r="AJ10" s="62">
        <v>11.808837417225998</v>
      </c>
      <c r="AK10" s="62">
        <v>10.672202760507046</v>
      </c>
      <c r="AL10" s="62">
        <v>10.07406166669176</v>
      </c>
      <c r="AM10" s="160">
        <v>11.750160145036553</v>
      </c>
      <c r="AN10" s="1"/>
    </row>
    <row r="11" spans="1:40" x14ac:dyDescent="0.35">
      <c r="A11" s="13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35">
      <c r="A12" t="s">
        <v>230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35"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35"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32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zoomScale="63" zoomScaleNormal="63" workbookViewId="0">
      <pane xSplit="2" ySplit="5" topLeftCell="C6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4" max="4" width="8.7265625" style="25"/>
    <col min="19" max="20" width="17.1796875" style="25" bestFit="1" customWidth="1"/>
    <col min="21" max="21" width="16.08984375" style="25" bestFit="1" customWidth="1"/>
    <col min="22" max="26" width="17.1796875" style="25" bestFit="1" customWidth="1"/>
    <col min="27" max="27" width="16.08984375" style="25" bestFit="1" customWidth="1"/>
    <col min="28" max="29" width="14.6328125" style="25" bestFit="1" customWidth="1"/>
    <col min="30" max="33" width="16.08984375" style="25" bestFit="1" customWidth="1"/>
    <col min="34" max="34" width="18.1796875" style="25" bestFit="1" customWidth="1"/>
    <col min="35" max="36" width="17.1796875" style="25" bestFit="1" customWidth="1"/>
    <col min="37" max="37" width="16.08984375" style="25" bestFit="1" customWidth="1"/>
    <col min="38" max="41" width="17.1796875" style="25" bestFit="1" customWidth="1"/>
  </cols>
  <sheetData>
    <row r="1" spans="1:10" ht="21" x14ac:dyDescent="0.5">
      <c r="A1" s="137" t="s">
        <v>260</v>
      </c>
    </row>
    <row r="4" spans="1:10" x14ac:dyDescent="0.35">
      <c r="C4" t="s">
        <v>253</v>
      </c>
    </row>
    <row r="5" spans="1:10" x14ac:dyDescent="0.35">
      <c r="C5" t="s">
        <v>258</v>
      </c>
      <c r="D5" s="25" t="s">
        <v>259</v>
      </c>
    </row>
    <row r="6" spans="1:10" x14ac:dyDescent="0.35">
      <c r="A6" t="s">
        <v>257</v>
      </c>
      <c r="B6" t="s">
        <v>112</v>
      </c>
      <c r="C6" s="90">
        <v>77.94273579142444</v>
      </c>
      <c r="D6" s="25">
        <v>77.349006760771459</v>
      </c>
      <c r="E6" s="90"/>
      <c r="I6" s="90"/>
      <c r="J6" s="90"/>
    </row>
    <row r="7" spans="1:10" x14ac:dyDescent="0.35">
      <c r="C7" s="90"/>
      <c r="E7" s="90"/>
      <c r="I7" s="90"/>
      <c r="J7" s="90"/>
    </row>
    <row r="8" spans="1:10" x14ac:dyDescent="0.35">
      <c r="B8" t="s">
        <v>18</v>
      </c>
      <c r="C8" s="90">
        <v>104.23407192100289</v>
      </c>
      <c r="D8" s="25">
        <v>85.542226718697307</v>
      </c>
      <c r="E8" s="90"/>
      <c r="I8" s="90"/>
      <c r="J8" s="90"/>
    </row>
    <row r="9" spans="1:10" x14ac:dyDescent="0.35">
      <c r="B9" t="s">
        <v>17</v>
      </c>
      <c r="C9" s="90">
        <v>107.62136647377235</v>
      </c>
      <c r="D9" s="25">
        <v>68.278974161327099</v>
      </c>
      <c r="E9" s="90"/>
      <c r="I9" s="90"/>
      <c r="J9" s="90"/>
    </row>
    <row r="10" spans="1:10" x14ac:dyDescent="0.35">
      <c r="B10" t="s">
        <v>16</v>
      </c>
      <c r="C10" s="90">
        <v>115.10918080028991</v>
      </c>
      <c r="D10" s="25">
        <v>98.663904546257484</v>
      </c>
      <c r="E10" s="90"/>
      <c r="I10" s="90"/>
      <c r="J10" s="90"/>
    </row>
    <row r="11" spans="1:10" x14ac:dyDescent="0.35">
      <c r="B11" t="s">
        <v>15</v>
      </c>
      <c r="C11" s="90">
        <v>146.73511263695286</v>
      </c>
      <c r="D11" s="25">
        <v>93.748293748293747</v>
      </c>
      <c r="E11" s="90"/>
      <c r="I11" s="90"/>
      <c r="J11" s="90"/>
    </row>
    <row r="12" spans="1:10" x14ac:dyDescent="0.35">
      <c r="B12" t="s">
        <v>14</v>
      </c>
      <c r="C12" s="90">
        <v>155.87835463552784</v>
      </c>
      <c r="D12" s="25">
        <v>104.76144593791652</v>
      </c>
      <c r="E12" s="90"/>
      <c r="I12" s="90"/>
      <c r="J12" s="90"/>
    </row>
    <row r="14" spans="1:10" x14ac:dyDescent="0.35">
      <c r="A14" t="s">
        <v>256</v>
      </c>
      <c r="B14" t="s">
        <v>112</v>
      </c>
      <c r="C14" s="90">
        <v>90.618887484139975</v>
      </c>
      <c r="D14" s="25">
        <v>52.212463755935623</v>
      </c>
    </row>
    <row r="15" spans="1:10" x14ac:dyDescent="0.35">
      <c r="C15" s="90"/>
    </row>
    <row r="16" spans="1:10" x14ac:dyDescent="0.35">
      <c r="B16" t="s">
        <v>18</v>
      </c>
      <c r="C16" s="90">
        <v>111.90049063019723</v>
      </c>
      <c r="D16" s="25">
        <v>66.281464050090349</v>
      </c>
    </row>
    <row r="17" spans="1:4" x14ac:dyDescent="0.35">
      <c r="B17" t="s">
        <v>17</v>
      </c>
      <c r="C17" s="90">
        <v>117.34045575772348</v>
      </c>
      <c r="D17" s="25">
        <v>45.348153128545619</v>
      </c>
    </row>
    <row r="18" spans="1:4" x14ac:dyDescent="0.35">
      <c r="B18" t="s">
        <v>16</v>
      </c>
      <c r="C18" s="90">
        <v>127.6637255140591</v>
      </c>
      <c r="D18" s="25">
        <v>70.422742362482666</v>
      </c>
    </row>
    <row r="19" spans="1:4" x14ac:dyDescent="0.35">
      <c r="B19" t="s">
        <v>15</v>
      </c>
      <c r="C19" s="90">
        <v>131.49747189997382</v>
      </c>
      <c r="D19" s="25">
        <v>72.971382947430357</v>
      </c>
    </row>
    <row r="20" spans="1:4" x14ac:dyDescent="0.35">
      <c r="B20" t="s">
        <v>14</v>
      </c>
      <c r="C20" s="90">
        <v>134.60079110751923</v>
      </c>
      <c r="D20" s="25">
        <v>62.789427238727569</v>
      </c>
    </row>
    <row r="22" spans="1:4" x14ac:dyDescent="0.35">
      <c r="A22" t="s">
        <v>254</v>
      </c>
      <c r="B22" t="s">
        <v>112</v>
      </c>
      <c r="C22" s="90">
        <v>57.428368438464751</v>
      </c>
      <c r="D22" s="25">
        <v>133.39107740193029</v>
      </c>
    </row>
    <row r="23" spans="1:4" x14ac:dyDescent="0.35">
      <c r="C23" s="90"/>
    </row>
    <row r="24" spans="1:4" x14ac:dyDescent="0.35">
      <c r="B24" t="s">
        <v>18</v>
      </c>
      <c r="C24" s="90">
        <v>60.627119569514086</v>
      </c>
      <c r="D24" s="25">
        <v>136.97828350314947</v>
      </c>
    </row>
    <row r="25" spans="1:4" x14ac:dyDescent="0.35">
      <c r="B25" t="s">
        <v>17</v>
      </c>
      <c r="C25" s="90">
        <v>62.252225299562944</v>
      </c>
      <c r="D25" s="25">
        <v>100.19652113636177</v>
      </c>
    </row>
    <row r="26" spans="1:4" x14ac:dyDescent="0.35">
      <c r="B26" t="s">
        <v>16</v>
      </c>
      <c r="C26" s="90">
        <v>72.471916342986148</v>
      </c>
      <c r="D26" s="25">
        <v>128.02645980555951</v>
      </c>
    </row>
    <row r="27" spans="1:4" x14ac:dyDescent="0.35">
      <c r="B27" t="s">
        <v>15</v>
      </c>
      <c r="C27" s="90">
        <v>86.968095393547841</v>
      </c>
      <c r="D27" s="25">
        <v>132.86106991133616</v>
      </c>
    </row>
    <row r="28" spans="1:4" x14ac:dyDescent="0.35">
      <c r="B28" t="s">
        <v>14</v>
      </c>
      <c r="C28" s="90">
        <v>108.97851610396201</v>
      </c>
      <c r="D28" s="25">
        <v>121.54301650735997</v>
      </c>
    </row>
    <row r="29" spans="1:4" x14ac:dyDescent="0.35">
      <c r="C29" s="90"/>
    </row>
    <row r="30" spans="1:4" x14ac:dyDescent="0.35">
      <c r="A30" t="s">
        <v>255</v>
      </c>
      <c r="B30" t="s">
        <v>112</v>
      </c>
      <c r="C30" s="90">
        <v>66.389496774827421</v>
      </c>
      <c r="D30" s="25">
        <v>125.99415129244831</v>
      </c>
    </row>
    <row r="31" spans="1:4" x14ac:dyDescent="0.35">
      <c r="C31" s="90"/>
    </row>
    <row r="32" spans="1:4" x14ac:dyDescent="0.35">
      <c r="B32" t="s">
        <v>18</v>
      </c>
      <c r="C32" s="90">
        <v>62.02588847403392</v>
      </c>
      <c r="D32" s="25">
        <v>117.18290664006679</v>
      </c>
    </row>
    <row r="33" spans="1:4" x14ac:dyDescent="0.35">
      <c r="B33" t="s">
        <v>17</v>
      </c>
      <c r="C33" s="90">
        <v>41.844215951148975</v>
      </c>
      <c r="D33" s="25">
        <v>107.90488725797648</v>
      </c>
    </row>
    <row r="34" spans="1:4" x14ac:dyDescent="0.35">
      <c r="B34" t="s">
        <v>16</v>
      </c>
      <c r="C34" s="90">
        <v>43.979217451930126</v>
      </c>
      <c r="D34" s="25">
        <v>122.6915873657654</v>
      </c>
    </row>
    <row r="35" spans="1:4" x14ac:dyDescent="0.35">
      <c r="B35" t="s">
        <v>15</v>
      </c>
      <c r="C35" s="90">
        <v>53.0228691326705</v>
      </c>
      <c r="D35" s="25">
        <v>127.37419772238985</v>
      </c>
    </row>
    <row r="36" spans="1:4" x14ac:dyDescent="0.35">
      <c r="B36" t="s">
        <v>14</v>
      </c>
      <c r="C36" s="90">
        <v>69.064356200069327</v>
      </c>
      <c r="D36" s="25">
        <v>101.0221650296975</v>
      </c>
    </row>
    <row r="38" spans="1:4" x14ac:dyDescent="0.35">
      <c r="A38" t="s">
        <v>230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zoomScale="57" zoomScaleNormal="57" workbookViewId="0">
      <selection activeCell="A11" sqref="A11"/>
    </sheetView>
  </sheetViews>
  <sheetFormatPr defaultColWidth="8.90625" defaultRowHeight="14.5" x14ac:dyDescent="0.35"/>
  <cols>
    <col min="1" max="1" width="19.54296875" bestFit="1" customWidth="1"/>
  </cols>
  <sheetData>
    <row r="1" spans="1:40" ht="21" x14ac:dyDescent="0.5">
      <c r="A1" s="137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5">
      <c r="A2" t="s">
        <v>252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35">
      <c r="A3" s="138"/>
      <c r="B3" s="1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 t="s">
        <v>12</v>
      </c>
      <c r="P3" s="1"/>
      <c r="Q3" s="1"/>
      <c r="R3" s="1"/>
      <c r="S3" s="1"/>
      <c r="T3" s="1"/>
      <c r="U3" s="1"/>
      <c r="V3" s="1"/>
      <c r="W3" s="1"/>
      <c r="X3" s="1"/>
      <c r="Y3" s="1"/>
      <c r="AA3" s="1"/>
      <c r="AB3" s="1" t="s">
        <v>130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35">
      <c r="A4" s="49"/>
      <c r="B4" s="1">
        <v>2010</v>
      </c>
      <c r="C4" s="1">
        <v>2011</v>
      </c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1">
        <v>2020</v>
      </c>
      <c r="M4" s="1">
        <v>2021</v>
      </c>
      <c r="N4" s="1"/>
      <c r="O4" s="1">
        <v>2010</v>
      </c>
      <c r="P4" s="1">
        <v>2011</v>
      </c>
      <c r="Q4" s="1">
        <v>2012</v>
      </c>
      <c r="R4" s="1">
        <v>2013</v>
      </c>
      <c r="S4" s="1">
        <v>2014</v>
      </c>
      <c r="T4" s="1">
        <v>2015</v>
      </c>
      <c r="U4" s="1">
        <v>2016</v>
      </c>
      <c r="V4" s="1">
        <v>2017</v>
      </c>
      <c r="W4" s="1">
        <v>2018</v>
      </c>
      <c r="X4" s="1">
        <v>2019</v>
      </c>
      <c r="Y4" s="1">
        <v>2020</v>
      </c>
      <c r="Z4" s="1">
        <v>2021</v>
      </c>
      <c r="AA4" s="1"/>
      <c r="AB4" s="1">
        <v>2010</v>
      </c>
      <c r="AC4" s="1">
        <v>2011</v>
      </c>
      <c r="AD4" s="1">
        <v>2012</v>
      </c>
      <c r="AE4" s="1">
        <v>2013</v>
      </c>
      <c r="AF4" s="1">
        <v>2014</v>
      </c>
      <c r="AG4" s="1">
        <v>2015</v>
      </c>
      <c r="AH4" s="1">
        <v>2016</v>
      </c>
      <c r="AI4" s="1">
        <v>2017</v>
      </c>
      <c r="AJ4" s="1">
        <v>2018</v>
      </c>
      <c r="AK4" s="1">
        <v>2019</v>
      </c>
      <c r="AL4" s="1">
        <v>2020</v>
      </c>
      <c r="AM4" s="1">
        <v>2021</v>
      </c>
      <c r="AN4" s="1"/>
    </row>
    <row r="5" spans="1:40" x14ac:dyDescent="0.35">
      <c r="A5" s="138" t="s">
        <v>231</v>
      </c>
      <c r="B5" s="62">
        <v>6.0789477958792535</v>
      </c>
      <c r="C5" s="62">
        <v>7.2282263279445713</v>
      </c>
      <c r="D5" s="62">
        <v>9.2066613745106576</v>
      </c>
      <c r="E5" s="62">
        <v>8.820286683107275</v>
      </c>
      <c r="F5" s="62">
        <v>10.540657802795028</v>
      </c>
      <c r="G5" s="62">
        <v>11.976005588673623</v>
      </c>
      <c r="H5" s="62">
        <v>15.74156486013986</v>
      </c>
      <c r="I5" s="62">
        <v>13.037685221674876</v>
      </c>
      <c r="J5" s="62">
        <v>12.189388485804415</v>
      </c>
      <c r="K5" s="62">
        <v>10.666614441416892</v>
      </c>
      <c r="L5" s="62">
        <v>11.387544215714701</v>
      </c>
      <c r="M5" s="62">
        <v>11.516299999999999</v>
      </c>
      <c r="N5" s="1"/>
      <c r="O5" s="62">
        <v>50.174660182079542</v>
      </c>
      <c r="P5" s="62">
        <v>57.823019168591209</v>
      </c>
      <c r="Q5" s="62">
        <v>77.817233579817312</v>
      </c>
      <c r="R5" s="62">
        <v>80.427162762022178</v>
      </c>
      <c r="S5" s="62">
        <v>99.545106172360235</v>
      </c>
      <c r="T5" s="62">
        <v>68.078382451564849</v>
      </c>
      <c r="U5" s="62">
        <v>45.303130069930063</v>
      </c>
      <c r="V5" s="62">
        <v>53.392247290640391</v>
      </c>
      <c r="W5" s="62">
        <v>64.764137697160891</v>
      </c>
      <c r="X5" s="62">
        <v>59.358705722070837</v>
      </c>
      <c r="Y5" s="62">
        <v>59.746366917947228</v>
      </c>
      <c r="Z5" s="64">
        <v>50.594999999999999</v>
      </c>
      <c r="AA5" s="1"/>
      <c r="AB5" s="62">
        <v>177.0937132726402</v>
      </c>
      <c r="AC5" s="62">
        <v>200.2003586605081</v>
      </c>
      <c r="AD5" s="62">
        <v>219.2516483253589</v>
      </c>
      <c r="AE5" s="62">
        <v>234.39124660912452</v>
      </c>
      <c r="AF5" s="62">
        <v>260.05087208850927</v>
      </c>
      <c r="AG5" s="62">
        <v>274.20136195976153</v>
      </c>
      <c r="AH5" s="62">
        <v>279.9305197552448</v>
      </c>
      <c r="AI5" s="62">
        <v>241.45151379310349</v>
      </c>
      <c r="AJ5" s="62">
        <v>245.35970772870661</v>
      </c>
      <c r="AK5" s="62">
        <v>248.88648637602179</v>
      </c>
      <c r="AL5" s="62">
        <v>231.08303972165848</v>
      </c>
      <c r="AM5" s="62">
        <v>250.38930000000002</v>
      </c>
      <c r="AN5" s="1"/>
    </row>
    <row r="6" spans="1:40" x14ac:dyDescent="0.35">
      <c r="A6" s="7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4.4" customHeight="1" x14ac:dyDescent="0.35">
      <c r="A7" s="70"/>
      <c r="B7" s="1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 t="s">
        <v>12</v>
      </c>
      <c r="P7" s="1"/>
      <c r="Q7" s="1"/>
      <c r="R7" s="1"/>
      <c r="S7" s="1"/>
      <c r="T7" s="1"/>
      <c r="U7" s="1"/>
      <c r="V7" s="1"/>
      <c r="W7" s="1"/>
      <c r="X7" s="1"/>
      <c r="Y7" s="1"/>
      <c r="AA7" s="1"/>
      <c r="AB7" s="1" t="s">
        <v>130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35">
      <c r="B8" s="1">
        <v>2010</v>
      </c>
      <c r="C8" s="1">
        <v>2011</v>
      </c>
      <c r="D8" s="1">
        <v>2012</v>
      </c>
      <c r="E8" s="1">
        <v>2013</v>
      </c>
      <c r="F8" s="1">
        <v>2014</v>
      </c>
      <c r="G8" s="1">
        <v>2015</v>
      </c>
      <c r="H8" s="1">
        <v>2016</v>
      </c>
      <c r="I8" s="1">
        <v>2017</v>
      </c>
      <c r="J8" s="1">
        <v>2018</v>
      </c>
      <c r="K8" s="1">
        <v>2019</v>
      </c>
      <c r="L8" s="1">
        <v>2020</v>
      </c>
      <c r="M8" s="1">
        <v>2021</v>
      </c>
      <c r="N8" s="1"/>
      <c r="O8" s="1">
        <v>2010</v>
      </c>
      <c r="P8" s="1">
        <v>2011</v>
      </c>
      <c r="Q8" s="1">
        <v>2012</v>
      </c>
      <c r="R8" s="1">
        <v>2013</v>
      </c>
      <c r="S8" s="1">
        <v>2014</v>
      </c>
      <c r="T8" s="1">
        <v>2015</v>
      </c>
      <c r="U8" s="1">
        <v>2016</v>
      </c>
      <c r="V8" s="1">
        <v>2017</v>
      </c>
      <c r="W8" s="1">
        <v>2018</v>
      </c>
      <c r="X8" s="1">
        <v>2019</v>
      </c>
      <c r="Y8" s="1">
        <v>2020</v>
      </c>
      <c r="Z8" s="1">
        <v>2021</v>
      </c>
      <c r="AA8" s="1"/>
      <c r="AB8" s="1">
        <v>2010</v>
      </c>
      <c r="AC8" s="1">
        <v>2011</v>
      </c>
      <c r="AD8" s="1">
        <v>2012</v>
      </c>
      <c r="AE8" s="1">
        <v>2013</v>
      </c>
      <c r="AF8" s="1">
        <v>2014</v>
      </c>
      <c r="AG8" s="1">
        <v>2015</v>
      </c>
      <c r="AH8" s="1">
        <v>2016</v>
      </c>
      <c r="AI8" s="1">
        <v>2017</v>
      </c>
      <c r="AJ8" s="1">
        <v>2018</v>
      </c>
      <c r="AK8" s="1">
        <v>2019</v>
      </c>
      <c r="AL8" s="1">
        <v>2020</v>
      </c>
      <c r="AM8" s="1">
        <v>2021</v>
      </c>
      <c r="AN8" s="1"/>
    </row>
    <row r="9" spans="1:40" x14ac:dyDescent="0.35">
      <c r="A9" s="70" t="s">
        <v>232</v>
      </c>
      <c r="B9" s="62">
        <v>0.47553398927780893</v>
      </c>
      <c r="C9" s="62">
        <v>0.62894148582840304</v>
      </c>
      <c r="D9" s="62">
        <v>0.76787097602958887</v>
      </c>
      <c r="E9" s="62">
        <v>0.6741079112971875</v>
      </c>
      <c r="F9" s="62">
        <v>0.70377853168125626</v>
      </c>
      <c r="G9" s="62">
        <v>0.77103840434335225</v>
      </c>
      <c r="H9" s="62">
        <v>0.80284696393420407</v>
      </c>
      <c r="I9" s="62">
        <v>0.84381580892786046</v>
      </c>
      <c r="J9" s="62">
        <v>0.90935344281717745</v>
      </c>
      <c r="K9" s="62">
        <v>0.70713582921885521</v>
      </c>
      <c r="L9" s="62">
        <v>0.71581350020257284</v>
      </c>
      <c r="M9" s="62">
        <v>0.76983341652042026</v>
      </c>
      <c r="N9" s="1"/>
      <c r="O9" s="62">
        <v>3.9160434494983116</v>
      </c>
      <c r="P9" s="62">
        <v>5.0175871778677692</v>
      </c>
      <c r="Q9" s="62">
        <v>6.5079971558652696</v>
      </c>
      <c r="R9" s="62">
        <v>6.1605370788630944</v>
      </c>
      <c r="S9" s="62">
        <v>6.6442942886785952</v>
      </c>
      <c r="T9" s="62">
        <v>4.383035636035971</v>
      </c>
      <c r="U9" s="62">
        <v>2.3055791005026309</v>
      </c>
      <c r="V9" s="62">
        <v>3.4582006534708096</v>
      </c>
      <c r="W9" s="62">
        <v>4.8234739512430362</v>
      </c>
      <c r="X9" s="62">
        <v>3.9302595069292776</v>
      </c>
      <c r="Y9" s="62">
        <v>3.7926495369319002</v>
      </c>
      <c r="Z9" s="64">
        <v>3.3870036211145296</v>
      </c>
      <c r="AA9" s="1"/>
      <c r="AB9" s="62">
        <v>13.846584606691174</v>
      </c>
      <c r="AC9" s="62">
        <v>17.443478351921943</v>
      </c>
      <c r="AD9" s="62">
        <v>18.270020818566614</v>
      </c>
      <c r="AE9" s="62">
        <v>17.940424496653691</v>
      </c>
      <c r="AF9" s="62">
        <v>17.341503772006099</v>
      </c>
      <c r="AG9" s="62">
        <v>17.639936337116541</v>
      </c>
      <c r="AH9" s="62">
        <v>14.225363760486621</v>
      </c>
      <c r="AI9" s="62">
        <v>15.630675044413584</v>
      </c>
      <c r="AJ9" s="62">
        <v>18.283798499390809</v>
      </c>
      <c r="AK9" s="62">
        <v>16.508694174137997</v>
      </c>
      <c r="AL9" s="62">
        <v>14.712579008230856</v>
      </c>
      <c r="AM9" s="62">
        <v>16.737909396551185</v>
      </c>
      <c r="AN9" s="1"/>
    </row>
    <row r="10" spans="1:40" x14ac:dyDescent="0.35"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35">
      <c r="A11" t="s">
        <v>230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35"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35"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31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8" zoomScale="90" zoomScaleNormal="90" workbookViewId="0">
      <selection activeCell="A11" sqref="A11"/>
    </sheetView>
  </sheetViews>
  <sheetFormatPr defaultColWidth="8.90625" defaultRowHeight="14.5" x14ac:dyDescent="0.35"/>
  <cols>
    <col min="1" max="1" width="41.453125" customWidth="1"/>
    <col min="2" max="7" width="10.6328125" customWidth="1"/>
  </cols>
  <sheetData>
    <row r="1" spans="1:7" ht="23.5" x14ac:dyDescent="0.55000000000000004">
      <c r="A1" s="139" t="s">
        <v>233</v>
      </c>
    </row>
    <row r="3" spans="1:7" x14ac:dyDescent="0.35">
      <c r="B3" s="140" t="s">
        <v>234</v>
      </c>
      <c r="C3" s="140"/>
      <c r="D3" s="140" t="s">
        <v>235</v>
      </c>
      <c r="E3" s="140"/>
      <c r="F3" s="140" t="s">
        <v>236</v>
      </c>
      <c r="G3" s="140"/>
    </row>
    <row r="4" spans="1:7" x14ac:dyDescent="0.35">
      <c r="A4" s="141" t="s">
        <v>237</v>
      </c>
      <c r="B4" s="142" t="s">
        <v>232</v>
      </c>
      <c r="C4" s="142" t="s">
        <v>238</v>
      </c>
      <c r="D4" s="142" t="s">
        <v>232</v>
      </c>
      <c r="E4" s="142" t="s">
        <v>239</v>
      </c>
      <c r="F4" s="142" t="s">
        <v>232</v>
      </c>
      <c r="G4" s="142" t="s">
        <v>239</v>
      </c>
    </row>
    <row r="5" spans="1:7" x14ac:dyDescent="0.35">
      <c r="A5" s="141" t="s">
        <v>240</v>
      </c>
      <c r="B5" s="75"/>
      <c r="C5" s="75"/>
      <c r="D5" s="75"/>
      <c r="E5" s="75"/>
      <c r="F5" s="75"/>
      <c r="G5" s="75"/>
    </row>
    <row r="6" spans="1:7" ht="14.4" customHeight="1" x14ac:dyDescent="0.35">
      <c r="A6" s="75" t="s">
        <v>241</v>
      </c>
      <c r="B6" s="143">
        <v>1.08748525387551</v>
      </c>
      <c r="C6" s="144">
        <v>16.287400000000002</v>
      </c>
      <c r="D6" s="145">
        <v>0.28313484432169728</v>
      </c>
      <c r="E6" s="145">
        <v>0.2082146411409386</v>
      </c>
      <c r="F6" s="146">
        <v>0.23996306344634535</v>
      </c>
      <c r="G6" s="147">
        <v>2.8068482458683683</v>
      </c>
    </row>
    <row r="7" spans="1:7" x14ac:dyDescent="0.35">
      <c r="A7" s="75" t="s">
        <v>242</v>
      </c>
      <c r="B7" s="143">
        <v>0.44163245952303565</v>
      </c>
      <c r="C7" s="144">
        <v>6.5936000000000003</v>
      </c>
      <c r="D7" s="145">
        <v>9.9098792836738836E-2</v>
      </c>
      <c r="E7" s="145">
        <v>3.5280398263798536E-2</v>
      </c>
      <c r="F7" s="146">
        <v>3.9819208156253241E-2</v>
      </c>
      <c r="G7" s="147">
        <v>0.22469741954189612</v>
      </c>
    </row>
    <row r="8" spans="1:7" x14ac:dyDescent="0.35">
      <c r="A8" s="75" t="s">
        <v>243</v>
      </c>
      <c r="B8" s="143">
        <v>0.12781188346721234</v>
      </c>
      <c r="C8" s="144">
        <v>1.9117</v>
      </c>
      <c r="D8" s="145">
        <v>7.5917640055340435E-2</v>
      </c>
      <c r="E8" s="145">
        <v>1.3551853801545641E-2</v>
      </c>
      <c r="F8" s="146">
        <v>9.018512386654293E-3</v>
      </c>
      <c r="G8" s="147">
        <v>2.5560684256305876E-2</v>
      </c>
    </row>
    <row r="9" spans="1:7" x14ac:dyDescent="0.35">
      <c r="A9" s="75" t="s">
        <v>244</v>
      </c>
      <c r="B9" s="143">
        <v>0.32775750178761148</v>
      </c>
      <c r="C9" s="144">
        <v>4.9043999999999999</v>
      </c>
      <c r="D9" s="145">
        <v>-0.1846068057342756</v>
      </c>
      <c r="E9" s="145">
        <v>-0.22118590298086657</v>
      </c>
      <c r="F9" s="146">
        <v>-7.4205016531863524E-2</v>
      </c>
      <c r="G9" s="147">
        <v>-1.3928665990142082</v>
      </c>
    </row>
    <row r="10" spans="1:7" x14ac:dyDescent="0.35">
      <c r="A10" s="75" t="s">
        <v>245</v>
      </c>
      <c r="B10" s="143">
        <v>2.1921280929591314</v>
      </c>
      <c r="C10" s="144">
        <v>32.771999999999998</v>
      </c>
      <c r="D10" s="145">
        <v>0.25213562709586573</v>
      </c>
      <c r="E10" s="145">
        <v>0.18326604991033069</v>
      </c>
      <c r="F10" s="146">
        <v>0.44141671192173337</v>
      </c>
      <c r="G10" s="147">
        <v>5.075777326761381</v>
      </c>
    </row>
    <row r="11" spans="1:7" x14ac:dyDescent="0.35">
      <c r="A11" s="75" t="s">
        <v>246</v>
      </c>
      <c r="B11" s="143">
        <v>0.11423366330687648</v>
      </c>
      <c r="C11" s="144">
        <v>1.7075</v>
      </c>
      <c r="D11" s="145">
        <v>0.11819314136712659</v>
      </c>
      <c r="E11" s="145">
        <v>5.7238624752808408E-2</v>
      </c>
      <c r="F11" s="146">
        <v>1.2074511116753058E-2</v>
      </c>
      <c r="G11" s="147">
        <v>9.2443606842562753E-2</v>
      </c>
    </row>
    <row r="12" spans="1:7" x14ac:dyDescent="0.35">
      <c r="A12" s="75" t="s">
        <v>247</v>
      </c>
      <c r="B12" s="143">
        <v>2.4925642015779048</v>
      </c>
      <c r="C12" s="144">
        <v>37.252199999999995</v>
      </c>
      <c r="D12" s="145">
        <v>0.19522074641105422</v>
      </c>
      <c r="E12" s="145">
        <v>0.1333514764359969</v>
      </c>
      <c r="F12" s="146">
        <v>0.40712165126872968</v>
      </c>
      <c r="G12" s="147">
        <v>4.3831379530298582</v>
      </c>
    </row>
    <row r="13" spans="1:7" x14ac:dyDescent="0.35">
      <c r="A13" s="75" t="s">
        <v>248</v>
      </c>
      <c r="B13" s="143">
        <v>2.0476100719287147</v>
      </c>
      <c r="C13" s="144">
        <v>30.601399999999998</v>
      </c>
      <c r="D13" s="145">
        <v>0.20284239397943707</v>
      </c>
      <c r="E13" s="145">
        <v>0.13605833142719659</v>
      </c>
      <c r="F13" s="146">
        <v>0.3453005406238851</v>
      </c>
      <c r="G13" s="147">
        <v>3.6649310234850674</v>
      </c>
    </row>
    <row r="14" spans="1:7" x14ac:dyDescent="0.35">
      <c r="A14" s="75" t="s">
        <v>249</v>
      </c>
      <c r="B14" s="143">
        <v>2.7529487884264543</v>
      </c>
      <c r="C14" s="144">
        <v>41.112299999999998</v>
      </c>
      <c r="D14" s="145">
        <v>0.11168508843863437</v>
      </c>
      <c r="E14" s="145">
        <v>3.9681577747884923E-2</v>
      </c>
      <c r="F14" s="146">
        <v>0.27657412346357296</v>
      </c>
      <c r="G14" s="147">
        <v>1.5691351696143756</v>
      </c>
    </row>
    <row r="15" spans="1:7" x14ac:dyDescent="0.35">
      <c r="A15" s="148" t="s">
        <v>250</v>
      </c>
      <c r="B15" s="149"/>
      <c r="C15" s="150"/>
      <c r="D15" s="151"/>
      <c r="E15" s="151"/>
      <c r="F15" s="150"/>
      <c r="G15" s="150"/>
    </row>
    <row r="16" spans="1:7" x14ac:dyDescent="0.35">
      <c r="A16" s="152" t="s">
        <v>241</v>
      </c>
      <c r="B16" s="153">
        <v>0.83452746945990708</v>
      </c>
      <c r="C16" s="154">
        <v>12.4842</v>
      </c>
      <c r="D16" s="155">
        <v>2.8292686892739675E-2</v>
      </c>
      <c r="E16" s="155">
        <v>-2.3040215487467781E-2</v>
      </c>
      <c r="F16" s="156">
        <v>2.2961385117078407E-2</v>
      </c>
      <c r="G16" s="157">
        <v>-0.29442220933604402</v>
      </c>
    </row>
    <row r="17" spans="1:7" x14ac:dyDescent="0.35">
      <c r="A17" s="75" t="s">
        <v>242</v>
      </c>
      <c r="B17" s="147">
        <v>1.1484127473991663</v>
      </c>
      <c r="C17" s="158">
        <v>17.167999999999999</v>
      </c>
      <c r="D17" s="145">
        <v>8.6035747222660955E-2</v>
      </c>
      <c r="E17" s="145">
        <v>4.159208401420577E-2</v>
      </c>
      <c r="F17" s="143">
        <v>9.0977252908286801E-2</v>
      </c>
      <c r="G17" s="146">
        <v>0.68553986662800526</v>
      </c>
    </row>
    <row r="18" spans="1:7" x14ac:dyDescent="0.35">
      <c r="A18" s="75" t="s">
        <v>243</v>
      </c>
      <c r="B18" s="147">
        <v>0.10499511086337572</v>
      </c>
      <c r="C18" s="158">
        <v>1.5710999999999999</v>
      </c>
      <c r="D18" s="145">
        <v>0.15126053621911836</v>
      </c>
      <c r="E18" s="145">
        <v>9.7612343633164553E-2</v>
      </c>
      <c r="F18" s="143">
        <v>1.3794980605986183E-2</v>
      </c>
      <c r="G18" s="146">
        <v>0.13972032473180637</v>
      </c>
    </row>
    <row r="19" spans="1:7" x14ac:dyDescent="0.35">
      <c r="A19" s="75" t="s">
        <v>244</v>
      </c>
      <c r="B19" s="147">
        <v>0.62665213313145385</v>
      </c>
      <c r="C19" s="158">
        <v>9.3699000000000012</v>
      </c>
      <c r="D19" s="145">
        <v>0.14426471110571701</v>
      </c>
      <c r="E19" s="145">
        <v>9.595594754800095E-2</v>
      </c>
      <c r="F19" s="143">
        <v>7.900600977428747E-2</v>
      </c>
      <c r="G19" s="146">
        <v>0.82037752971876221</v>
      </c>
    </row>
    <row r="20" spans="1:7" x14ac:dyDescent="0.35">
      <c r="A20" s="75" t="s">
        <v>245</v>
      </c>
      <c r="B20" s="147">
        <v>3.4835037756598504</v>
      </c>
      <c r="C20" s="158">
        <v>52.127899999999997</v>
      </c>
      <c r="D20" s="145">
        <v>0.22170169622521743</v>
      </c>
      <c r="E20" s="145">
        <v>0.16078878728241366</v>
      </c>
      <c r="F20" s="143">
        <v>0.63214997429975484</v>
      </c>
      <c r="G20" s="146">
        <v>7.2205916497535361</v>
      </c>
    </row>
    <row r="21" spans="1:7" x14ac:dyDescent="0.35">
      <c r="A21" s="75" t="s">
        <v>246</v>
      </c>
      <c r="B21" s="147">
        <v>0.26121168787376764</v>
      </c>
      <c r="C21" s="158">
        <v>3.9081000000000001</v>
      </c>
      <c r="D21" s="145">
        <v>0.28947235383948755</v>
      </c>
      <c r="E21" s="145">
        <v>0.23520053465644858</v>
      </c>
      <c r="F21" s="143">
        <v>5.8639149504881402E-2</v>
      </c>
      <c r="G21" s="146">
        <v>0.74416030733545946</v>
      </c>
    </row>
    <row r="22" spans="1:7" x14ac:dyDescent="0.35">
      <c r="A22" s="75" t="s">
        <v>247</v>
      </c>
      <c r="B22" s="147">
        <v>1.2590283084529981</v>
      </c>
      <c r="C22" s="158">
        <v>18.828599999999998</v>
      </c>
      <c r="D22" s="145">
        <v>0.30438631179500264</v>
      </c>
      <c r="E22" s="145">
        <v>0.24522383681783047</v>
      </c>
      <c r="F22" s="143">
        <v>0.29380175166675437</v>
      </c>
      <c r="G22" s="146">
        <v>3.7079450275442141</v>
      </c>
    </row>
    <row r="23" spans="1:7" x14ac:dyDescent="0.35">
      <c r="A23" s="75" t="s">
        <v>248</v>
      </c>
      <c r="B23" s="147">
        <v>5.0421220072249087</v>
      </c>
      <c r="C23" s="158">
        <v>75.440200000000019</v>
      </c>
      <c r="D23" s="145">
        <v>0.13604385731958155</v>
      </c>
      <c r="E23" s="145">
        <v>8.2244484468980236E-2</v>
      </c>
      <c r="F23" s="143">
        <v>0.6038056739792419</v>
      </c>
      <c r="G23" s="146">
        <v>5.733030240649474</v>
      </c>
    </row>
    <row r="24" spans="1:7" x14ac:dyDescent="0.35">
      <c r="A24" s="75" t="s">
        <v>249</v>
      </c>
      <c r="B24" s="147">
        <v>3.6346393391203562</v>
      </c>
      <c r="C24" s="158">
        <v>54.360699999999994</v>
      </c>
      <c r="D24" s="145">
        <v>5.643116472489252E-2</v>
      </c>
      <c r="E24" s="145">
        <v>3.6255167717757415E-3</v>
      </c>
      <c r="F24" s="143">
        <v>0.19415077679470732</v>
      </c>
      <c r="G24" s="146">
        <v>0.19637367352855653</v>
      </c>
    </row>
    <row r="25" spans="1:7" x14ac:dyDescent="0.35">
      <c r="B25" s="159">
        <f>SUM(B16:B24)</f>
        <v>16.395092579185782</v>
      </c>
      <c r="C25" s="159">
        <f>SUM(C16:C24)</f>
        <v>245.25870000000003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60" zoomScaleNormal="60" workbookViewId="0">
      <pane xSplit="1" ySplit="5" topLeftCell="I6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2" max="2" width="9.6328125" customWidth="1"/>
  </cols>
  <sheetData>
    <row r="1" spans="1:11" ht="26" x14ac:dyDescent="0.6">
      <c r="A1" s="14" t="s">
        <v>116</v>
      </c>
    </row>
    <row r="2" spans="1:11" x14ac:dyDescent="0.35">
      <c r="A2" t="s">
        <v>115</v>
      </c>
    </row>
    <row r="3" spans="1:11" x14ac:dyDescent="0.35">
      <c r="A3" t="s">
        <v>114</v>
      </c>
    </row>
    <row r="5" spans="1:11" x14ac:dyDescent="0.35">
      <c r="B5" t="s">
        <v>113</v>
      </c>
      <c r="C5" t="s">
        <v>112</v>
      </c>
      <c r="D5" t="s">
        <v>111</v>
      </c>
      <c r="E5" t="s">
        <v>110</v>
      </c>
      <c r="F5" t="s">
        <v>109</v>
      </c>
      <c r="G5" t="s">
        <v>18</v>
      </c>
      <c r="H5" t="s">
        <v>17</v>
      </c>
      <c r="I5" t="s">
        <v>16</v>
      </c>
      <c r="J5" t="s">
        <v>15</v>
      </c>
      <c r="K5" t="s">
        <v>14</v>
      </c>
    </row>
    <row r="6" spans="1:11" x14ac:dyDescent="0.35">
      <c r="A6" s="21" t="s">
        <v>96</v>
      </c>
      <c r="B6" s="25">
        <v>39.070885127727834</v>
      </c>
      <c r="C6" s="25">
        <v>38.856030780723835</v>
      </c>
      <c r="D6" s="25">
        <v>37.164540415730094</v>
      </c>
      <c r="E6" s="25">
        <v>35.616469590926549</v>
      </c>
      <c r="F6" s="25">
        <v>33.93510387916011</v>
      </c>
      <c r="G6" s="25">
        <v>34.498042170215989</v>
      </c>
      <c r="H6" s="25">
        <v>35.589524912529413</v>
      </c>
      <c r="I6" s="25">
        <v>36.257952522894627</v>
      </c>
      <c r="J6" s="25">
        <v>37.303474695727864</v>
      </c>
      <c r="K6" s="25">
        <v>38.566149002628407</v>
      </c>
    </row>
    <row r="7" spans="1:11" x14ac:dyDescent="0.35">
      <c r="A7" s="21" t="s">
        <v>108</v>
      </c>
      <c r="B7" s="25">
        <v>34.523398518929362</v>
      </c>
      <c r="C7" s="25">
        <v>35.852773955521215</v>
      </c>
      <c r="D7" s="25">
        <v>34.722580193366497</v>
      </c>
      <c r="E7" s="25">
        <v>34.785440302153894</v>
      </c>
      <c r="F7" s="25">
        <v>34.763270566126643</v>
      </c>
      <c r="G7" s="25">
        <v>35.730789314624595</v>
      </c>
      <c r="H7" s="25">
        <v>23.112637738459203</v>
      </c>
      <c r="I7" s="25">
        <v>21.827430205738715</v>
      </c>
      <c r="J7" s="25">
        <v>24.448377138872846</v>
      </c>
      <c r="K7" s="25">
        <v>25.054180748689468</v>
      </c>
    </row>
    <row r="8" spans="1:11" x14ac:dyDescent="0.35">
      <c r="A8" s="21" t="s">
        <v>94</v>
      </c>
      <c r="B8" s="25">
        <v>171.69834129830903</v>
      </c>
      <c r="C8" s="25">
        <v>167.99062652178415</v>
      </c>
      <c r="D8" s="25">
        <v>174.33471471711377</v>
      </c>
      <c r="E8" s="25">
        <v>178.32680979680589</v>
      </c>
      <c r="F8" s="25">
        <v>173.5536333116913</v>
      </c>
      <c r="G8" s="25">
        <v>159.70545831125557</v>
      </c>
      <c r="H8" s="25">
        <v>124.90003326938871</v>
      </c>
      <c r="I8" s="25">
        <v>136.84319583022466</v>
      </c>
      <c r="J8" s="25">
        <v>138.77641590050104</v>
      </c>
      <c r="K8" s="25">
        <v>135.58154244996038</v>
      </c>
    </row>
    <row r="9" spans="1:11" x14ac:dyDescent="0.35">
      <c r="B9" s="31"/>
      <c r="C9" s="31"/>
      <c r="D9" s="31"/>
      <c r="E9" s="31"/>
      <c r="F9" s="31"/>
      <c r="G9" s="31"/>
      <c r="H9" s="31"/>
      <c r="I9" s="31"/>
    </row>
    <row r="11" spans="1:11" x14ac:dyDescent="0.35">
      <c r="A11" t="s">
        <v>77</v>
      </c>
    </row>
    <row r="12" spans="1:11" x14ac:dyDescent="0.35">
      <c r="A12" s="21" t="s">
        <v>96</v>
      </c>
      <c r="B12" s="29">
        <v>0.93253352656897837</v>
      </c>
      <c r="C12" s="29">
        <v>0.93195917852884513</v>
      </c>
      <c r="D12" s="29">
        <v>0.9428731870959477</v>
      </c>
      <c r="E12" s="29">
        <v>0.9490747986026653</v>
      </c>
      <c r="F12" s="29">
        <v>0.95056347993611212</v>
      </c>
      <c r="G12" s="29">
        <v>0.94925424620668608</v>
      </c>
      <c r="H12" s="29">
        <v>0.9513638835227648</v>
      </c>
      <c r="I12" s="29">
        <v>0.97452256889262634</v>
      </c>
      <c r="J12" s="29">
        <v>0.98693887875388719</v>
      </c>
      <c r="K12" s="29">
        <v>1</v>
      </c>
    </row>
    <row r="13" spans="1:11" x14ac:dyDescent="0.35">
      <c r="A13" s="21" t="s">
        <v>95</v>
      </c>
      <c r="B13" s="29">
        <v>0.95527322137765625</v>
      </c>
      <c r="C13" s="29">
        <v>0.95163490852505028</v>
      </c>
      <c r="D13" s="29">
        <v>0.96484098265164453</v>
      </c>
      <c r="E13" s="29">
        <v>0.96426947444792166</v>
      </c>
      <c r="F13" s="29">
        <v>0.97115419743651277</v>
      </c>
      <c r="G13" s="29">
        <v>0.96270104674774126</v>
      </c>
      <c r="H13" s="29">
        <v>0.97493795952548135</v>
      </c>
      <c r="I13" s="29">
        <v>0.99771090928721851</v>
      </c>
      <c r="J13" s="29">
        <v>1.0159655386730746</v>
      </c>
      <c r="K13" s="29">
        <v>1</v>
      </c>
    </row>
    <row r="14" spans="1:11" x14ac:dyDescent="0.35">
      <c r="A14" s="21" t="s">
        <v>94</v>
      </c>
      <c r="B14" s="29">
        <v>0.90769491437354211</v>
      </c>
      <c r="C14" s="29">
        <v>0.90797018929725037</v>
      </c>
      <c r="D14" s="29">
        <v>0.91771243833125116</v>
      </c>
      <c r="E14" s="29">
        <v>0.91868674237956061</v>
      </c>
      <c r="F14" s="29">
        <v>0.92360008376234193</v>
      </c>
      <c r="G14" s="29">
        <v>0.93761156775417542</v>
      </c>
      <c r="H14" s="29">
        <v>0.94527090716118745</v>
      </c>
      <c r="I14" s="29">
        <v>0.98331932665115107</v>
      </c>
      <c r="J14" s="29">
        <v>1.0012474966841429</v>
      </c>
      <c r="K14" s="29">
        <v>1</v>
      </c>
    </row>
    <row r="15" spans="1:11" x14ac:dyDescent="0.35">
      <c r="A15" t="s">
        <v>78</v>
      </c>
    </row>
    <row r="16" spans="1:11" x14ac:dyDescent="0.35">
      <c r="A16" s="21" t="s">
        <v>96</v>
      </c>
      <c r="B16" s="29">
        <v>1.5103414302831977</v>
      </c>
      <c r="C16" s="29">
        <v>1.5094112099579222</v>
      </c>
      <c r="D16" s="29">
        <v>1.5270876567984011</v>
      </c>
      <c r="E16" s="29">
        <v>1.5371318541663803</v>
      </c>
      <c r="F16" s="29">
        <v>1.5395429386264388</v>
      </c>
      <c r="G16" s="29">
        <v>1.5374224894552957</v>
      </c>
      <c r="H16" s="29">
        <v>1.5408392809706295</v>
      </c>
      <c r="I16" s="29">
        <v>1.5783473393818763</v>
      </c>
      <c r="J16" s="29">
        <v>1.5984569297187434</v>
      </c>
      <c r="K16" s="29">
        <v>1.6196108635794764</v>
      </c>
    </row>
    <row r="17" spans="1:11" x14ac:dyDescent="0.35">
      <c r="A17" s="21" t="s">
        <v>95</v>
      </c>
      <c r="B17" s="29">
        <v>1.5210265853515845</v>
      </c>
      <c r="C17" s="29">
        <v>1.515233509139672</v>
      </c>
      <c r="D17" s="29">
        <v>1.536260781112925</v>
      </c>
      <c r="E17" s="29">
        <v>1.5353508014838977</v>
      </c>
      <c r="F17" s="29">
        <v>1.5463129497615666</v>
      </c>
      <c r="G17" s="29">
        <v>1.5328534843019759</v>
      </c>
      <c r="H17" s="29">
        <v>1.5523376164235994</v>
      </c>
      <c r="I17" s="29">
        <v>1.5885976740064178</v>
      </c>
      <c r="J17" s="29">
        <v>1.6176634700323806</v>
      </c>
      <c r="K17" s="29">
        <v>1.5922424614373905</v>
      </c>
    </row>
    <row r="18" spans="1:11" x14ac:dyDescent="0.35">
      <c r="A18" s="21" t="s">
        <v>94</v>
      </c>
      <c r="B18" s="29">
        <v>1.4790240503432766</v>
      </c>
      <c r="C18" s="29">
        <v>1.4794725911758557</v>
      </c>
      <c r="D18" s="29">
        <v>1.4953468903457097</v>
      </c>
      <c r="E18" s="29">
        <v>1.4969344492236738</v>
      </c>
      <c r="F18" s="29">
        <v>1.5049403881769572</v>
      </c>
      <c r="G18" s="29">
        <v>1.5277711008721186</v>
      </c>
      <c r="H18" s="29">
        <v>1.5402514475319116</v>
      </c>
      <c r="I18" s="29">
        <v>1.6022486302990362</v>
      </c>
      <c r="J18" s="29">
        <v>1.6314613032330243</v>
      </c>
      <c r="K18" s="29">
        <v>1.6294285964618904</v>
      </c>
    </row>
    <row r="20" spans="1:11" x14ac:dyDescent="0.35">
      <c r="A20" t="s">
        <v>107</v>
      </c>
    </row>
    <row r="21" spans="1:11" x14ac:dyDescent="0.35">
      <c r="A21" s="21"/>
      <c r="B21" s="20">
        <v>43435</v>
      </c>
      <c r="C21" s="20">
        <v>43555</v>
      </c>
      <c r="D21" s="20">
        <v>43646</v>
      </c>
      <c r="E21" s="20">
        <v>43709</v>
      </c>
      <c r="F21" s="20">
        <v>43800</v>
      </c>
      <c r="G21" s="20">
        <v>43921</v>
      </c>
      <c r="H21" s="20">
        <v>44012</v>
      </c>
      <c r="I21" s="20">
        <v>44075</v>
      </c>
      <c r="J21" s="20">
        <v>44138</v>
      </c>
    </row>
    <row r="22" spans="1:11" x14ac:dyDescent="0.35">
      <c r="A22" s="21" t="s">
        <v>96</v>
      </c>
      <c r="B22" s="38">
        <v>96494.500021759275</v>
      </c>
      <c r="C22" s="17">
        <v>95963.867999375449</v>
      </c>
      <c r="D22" s="17">
        <v>91786.345106609937</v>
      </c>
      <c r="E22" s="17">
        <v>87963.029618636065</v>
      </c>
      <c r="F22" s="17">
        <v>83810.511876070464</v>
      </c>
      <c r="G22" s="17">
        <v>85200.816927030013</v>
      </c>
      <c r="H22" s="17">
        <v>87896.483563647053</v>
      </c>
      <c r="I22" s="17">
        <v>89547.318651003618</v>
      </c>
      <c r="J22" s="17">
        <v>92129.475134006061</v>
      </c>
      <c r="K22" s="17">
        <v>95247.938550854058</v>
      </c>
    </row>
    <row r="23" spans="1:11" x14ac:dyDescent="0.35">
      <c r="A23" s="21" t="s">
        <v>95</v>
      </c>
      <c r="B23" s="38">
        <v>86728.998516377964</v>
      </c>
      <c r="C23" s="17">
        <v>90068.629178888426</v>
      </c>
      <c r="D23" s="17">
        <v>87229.378776950412</v>
      </c>
      <c r="E23" s="17">
        <v>87387.294698199359</v>
      </c>
      <c r="F23" s="17">
        <v>87331.600326106709</v>
      </c>
      <c r="G23" s="17">
        <v>89762.181778191647</v>
      </c>
      <c r="H23" s="17">
        <v>58063.111110840138</v>
      </c>
      <c r="I23" s="17">
        <v>54834.438182320773</v>
      </c>
      <c r="J23" s="17">
        <v>61418.729197316265</v>
      </c>
      <c r="K23" s="17">
        <v>62940.61703660863</v>
      </c>
    </row>
    <row r="24" spans="1:11" x14ac:dyDescent="0.35">
      <c r="A24" s="21" t="s">
        <v>94</v>
      </c>
      <c r="B24" s="38">
        <v>421493.3791419433</v>
      </c>
      <c r="C24" s="17">
        <v>412391.50187140622</v>
      </c>
      <c r="D24" s="17">
        <v>427965.2759149085</v>
      </c>
      <c r="E24" s="17">
        <v>437765.26368573931</v>
      </c>
      <c r="F24" s="17">
        <v>426047.8395642307</v>
      </c>
      <c r="G24" s="17">
        <v>392052.67087624926</v>
      </c>
      <c r="H24" s="17">
        <v>306610.63280856668</v>
      </c>
      <c r="I24" s="17">
        <v>335929.28497109556</v>
      </c>
      <c r="J24" s="17">
        <v>340675.04695041548</v>
      </c>
      <c r="K24" s="17">
        <v>332832.11733084713</v>
      </c>
    </row>
    <row r="25" spans="1:11" x14ac:dyDescent="0.35">
      <c r="A25" s="47" t="s">
        <v>106</v>
      </c>
      <c r="B25" s="45">
        <v>604716.87768008048</v>
      </c>
      <c r="C25" s="46">
        <v>598423.99904967006</v>
      </c>
      <c r="D25" s="46">
        <v>606980.99979846878</v>
      </c>
      <c r="E25" s="46">
        <v>613115.58800257475</v>
      </c>
      <c r="F25" s="46">
        <v>597189.95176640782</v>
      </c>
      <c r="G25" s="46">
        <v>567015.66958147089</v>
      </c>
      <c r="H25" s="46">
        <v>452570.22748305387</v>
      </c>
      <c r="I25" s="46">
        <v>480311.04180441995</v>
      </c>
      <c r="J25" s="46">
        <v>494223.25128173782</v>
      </c>
      <c r="K25" s="46">
        <v>491020.67291830981</v>
      </c>
    </row>
    <row r="26" spans="1:11" x14ac:dyDescent="0.35">
      <c r="A26" s="21" t="s">
        <v>105</v>
      </c>
    </row>
    <row r="27" spans="1:11" x14ac:dyDescent="0.35">
      <c r="A27" s="21" t="s">
        <v>96</v>
      </c>
      <c r="B27" s="38">
        <v>145739.64117732595</v>
      </c>
      <c r="C27" s="38">
        <v>144848.93810917964</v>
      </c>
      <c r="D27" s="38">
        <v>140165.79467494236</v>
      </c>
      <c r="E27" s="38">
        <v>135210.77481578628</v>
      </c>
      <c r="F27" s="38">
        <v>129029.88174147157</v>
      </c>
      <c r="G27" s="38">
        <v>130989.65206357939</v>
      </c>
      <c r="H27" s="38">
        <v>135434.35453405668</v>
      </c>
      <c r="I27" s="38">
        <v>141336.77214159264</v>
      </c>
      <c r="J27" s="38">
        <v>147264.99795930265</v>
      </c>
      <c r="K27" s="38">
        <v>154264.59601051363</v>
      </c>
    </row>
    <row r="28" spans="1:11" x14ac:dyDescent="0.35">
      <c r="A28" s="21" t="s">
        <v>95</v>
      </c>
      <c r="B28" s="38">
        <v>131917.11246432902</v>
      </c>
      <c r="C28" s="38">
        <v>136475.00505412696</v>
      </c>
      <c r="D28" s="38">
        <v>134007.07357587304</v>
      </c>
      <c r="E28" s="38">
        <v>134170.15295438995</v>
      </c>
      <c r="F28" s="38">
        <v>135041.98450766027</v>
      </c>
      <c r="G28" s="38">
        <v>137592.2730972484</v>
      </c>
      <c r="H28" s="38">
        <v>90133.551503940194</v>
      </c>
      <c r="I28" s="38">
        <v>87109.860951883486</v>
      </c>
      <c r="J28" s="38">
        <v>99354.834598309724</v>
      </c>
      <c r="K28" s="38">
        <v>100216.72299475787</v>
      </c>
    </row>
    <row r="29" spans="1:11" x14ac:dyDescent="0.35">
      <c r="A29" s="21" t="s">
        <v>94</v>
      </c>
      <c r="B29" s="38">
        <v>623398.84481139132</v>
      </c>
      <c r="C29" s="38">
        <v>610121.92385259212</v>
      </c>
      <c r="D29" s="38">
        <v>639956.54451530206</v>
      </c>
      <c r="E29" s="38">
        <v>655305.90388466849</v>
      </c>
      <c r="F29" s="38">
        <v>641176.60105574736</v>
      </c>
      <c r="G29" s="38">
        <v>598966.74058446172</v>
      </c>
      <c r="H29" s="38">
        <v>472257.47101207025</v>
      </c>
      <c r="I29" s="38">
        <v>538242.23672227247</v>
      </c>
      <c r="J29" s="38">
        <v>555798.15607669658</v>
      </c>
      <c r="K29" s="38">
        <v>542326.16979984147</v>
      </c>
    </row>
    <row r="30" spans="1:11" x14ac:dyDescent="0.35">
      <c r="F30" s="45"/>
      <c r="G30" s="45"/>
      <c r="H30" s="45"/>
      <c r="I30" s="45"/>
      <c r="J30" s="45"/>
    </row>
    <row r="31" spans="1:11" x14ac:dyDescent="0.35">
      <c r="A31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48" zoomScaleNormal="48" workbookViewId="0">
      <pane xSplit="1" ySplit="5" topLeftCell="F6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1" max="1" width="19.453125" customWidth="1"/>
    <col min="2" max="6" width="16.26953125" customWidth="1"/>
  </cols>
  <sheetData>
    <row r="1" spans="1:10" ht="26" x14ac:dyDescent="0.6">
      <c r="A1" s="14" t="s">
        <v>21</v>
      </c>
      <c r="B1" s="14"/>
      <c r="C1" s="14"/>
      <c r="D1" s="14"/>
      <c r="E1" s="14"/>
      <c r="F1" s="14"/>
    </row>
    <row r="2" spans="1:10" x14ac:dyDescent="0.35">
      <c r="A2" t="s">
        <v>20</v>
      </c>
    </row>
    <row r="3" spans="1:10" x14ac:dyDescent="0.35">
      <c r="A3" t="s">
        <v>19</v>
      </c>
    </row>
    <row r="4" spans="1:10" ht="15" customHeight="1" x14ac:dyDescent="0.35"/>
    <row r="5" spans="1:10" x14ac:dyDescent="0.35">
      <c r="A5" s="21"/>
      <c r="B5" s="21" t="s">
        <v>18</v>
      </c>
      <c r="C5" s="21" t="s">
        <v>17</v>
      </c>
      <c r="D5" s="21" t="s">
        <v>16</v>
      </c>
      <c r="E5" s="21" t="s">
        <v>15</v>
      </c>
      <c r="F5" s="21" t="s">
        <v>14</v>
      </c>
      <c r="G5" s="20"/>
      <c r="H5" s="20"/>
      <c r="I5" s="20"/>
      <c r="J5" s="20"/>
    </row>
    <row r="6" spans="1:10" x14ac:dyDescent="0.35">
      <c r="A6" s="19" t="s">
        <v>13</v>
      </c>
      <c r="B6" s="18">
        <v>8.5342717472135288E-2</v>
      </c>
      <c r="C6" s="18">
        <v>5.1057504265475284E-2</v>
      </c>
      <c r="D6" s="18">
        <v>4.676740251535505E-2</v>
      </c>
      <c r="E6" s="18">
        <v>1.4454177817773139E-2</v>
      </c>
      <c r="F6" s="18">
        <v>-8.0447434983050847E-3</v>
      </c>
      <c r="G6" s="17"/>
      <c r="H6" s="17"/>
      <c r="I6" s="17"/>
      <c r="J6" s="17"/>
    </row>
    <row r="7" spans="1:10" x14ac:dyDescent="0.35">
      <c r="A7" t="s">
        <v>12</v>
      </c>
      <c r="B7" s="18">
        <v>-6.0614888695437408E-2</v>
      </c>
      <c r="C7" s="18">
        <v>-0.26488794054382869</v>
      </c>
      <c r="D7" s="18">
        <v>0.38804555646211947</v>
      </c>
      <c r="E7" s="2">
        <v>-1.4569597507260723E-2</v>
      </c>
      <c r="F7" s="2">
        <v>4.2443101625385227E-2</v>
      </c>
      <c r="G7" s="17"/>
      <c r="H7" s="17"/>
      <c r="I7" s="17"/>
      <c r="J7" s="17"/>
    </row>
    <row r="8" spans="1:10" ht="29" x14ac:dyDescent="0.35">
      <c r="A8" s="19" t="s">
        <v>11</v>
      </c>
      <c r="B8" s="18">
        <v>-2.1109758771764797E-2</v>
      </c>
      <c r="C8" s="18">
        <v>-0.29088714990388265</v>
      </c>
      <c r="D8" s="18">
        <v>0.33005038533143316</v>
      </c>
      <c r="E8" s="18">
        <v>4.891834880445689E-2</v>
      </c>
      <c r="F8" s="18">
        <v>3.9879976545984519E-3</v>
      </c>
      <c r="G8" s="17"/>
      <c r="H8" s="17"/>
      <c r="I8" s="17"/>
      <c r="J8" s="17"/>
    </row>
    <row r="9" spans="1:10" ht="29" x14ac:dyDescent="0.35">
      <c r="A9" s="19" t="s">
        <v>10</v>
      </c>
      <c r="B9" s="18">
        <v>-1.4803408325227974E-2</v>
      </c>
      <c r="C9" s="18">
        <v>-0.22952969879938401</v>
      </c>
      <c r="D9" s="18">
        <v>0.13591388064625143</v>
      </c>
      <c r="E9" s="18">
        <v>1.747610935388022E-2</v>
      </c>
      <c r="F9" s="18">
        <v>-1.6554761930456241E-3</v>
      </c>
      <c r="G9" s="17"/>
      <c r="H9" s="17"/>
      <c r="I9" s="17"/>
      <c r="J9" s="17"/>
    </row>
    <row r="10" spans="1:10" x14ac:dyDescent="0.35">
      <c r="A10" t="s">
        <v>9</v>
      </c>
      <c r="B10" s="18">
        <v>-1.8141062294541044E-3</v>
      </c>
      <c r="C10" s="18">
        <v>-0.24574152239622082</v>
      </c>
      <c r="D10" s="18">
        <v>0.24075244909732674</v>
      </c>
      <c r="E10" s="2">
        <v>2.3672843249121556E-2</v>
      </c>
      <c r="F10" s="2">
        <v>1.5058276491593858E-2</v>
      </c>
      <c r="G10" s="17"/>
      <c r="H10" s="17"/>
      <c r="I10" s="17"/>
      <c r="J10" s="17"/>
    </row>
    <row r="11" spans="1:10" ht="29" x14ac:dyDescent="0.35">
      <c r="A11" s="19" t="s">
        <v>276</v>
      </c>
      <c r="B11" s="18">
        <v>1.898730823014505E-3</v>
      </c>
      <c r="C11" s="18">
        <v>-0.25667671093562805</v>
      </c>
      <c r="D11" s="18">
        <v>0.1552963992459464</v>
      </c>
      <c r="E11" s="18">
        <v>1.6308612110639054E-2</v>
      </c>
      <c r="F11" s="18">
        <v>1.1842999416620259E-2</v>
      </c>
      <c r="G11" s="17"/>
      <c r="H11" s="17"/>
      <c r="I11" s="17"/>
      <c r="J11" s="17"/>
    </row>
    <row r="12" spans="1:10" ht="29" x14ac:dyDescent="0.35">
      <c r="A12" s="19" t="s">
        <v>8</v>
      </c>
      <c r="B12" s="18">
        <v>7.7550466785396566E-3</v>
      </c>
      <c r="C12" s="18">
        <v>-0.10449248565862757</v>
      </c>
      <c r="D12" s="18">
        <v>3.9982675007718793E-2</v>
      </c>
      <c r="E12" s="18">
        <v>-5.9785116255783866E-4</v>
      </c>
      <c r="F12" s="18">
        <v>1.8106536831630216E-2</v>
      </c>
      <c r="G12" s="17"/>
      <c r="H12" s="17"/>
      <c r="I12" s="17"/>
      <c r="J12" s="17"/>
    </row>
    <row r="13" spans="1:10" ht="29" x14ac:dyDescent="0.35">
      <c r="A13" s="19" t="s">
        <v>7</v>
      </c>
      <c r="B13" s="18">
        <v>3.4307312489896269E-3</v>
      </c>
      <c r="C13" s="18">
        <v>-2.4817643595861361E-3</v>
      </c>
      <c r="D13" s="18">
        <v>2.3798255464764217E-3</v>
      </c>
      <c r="E13" s="18">
        <v>1.7284660089957882E-3</v>
      </c>
      <c r="F13" s="18">
        <v>2.1432592971419862E-3</v>
      </c>
      <c r="G13" s="17"/>
      <c r="H13" s="17"/>
      <c r="I13" s="17"/>
      <c r="J13" s="17"/>
    </row>
    <row r="14" spans="1:10" ht="29" x14ac:dyDescent="0.35">
      <c r="A14" s="19" t="s">
        <v>6</v>
      </c>
      <c r="B14" s="18">
        <v>1.6207323332371182E-3</v>
      </c>
      <c r="C14" s="18">
        <v>-9.0954008662829211E-2</v>
      </c>
      <c r="D14" s="18">
        <v>8.5295747321395776E-2</v>
      </c>
      <c r="E14" s="18">
        <v>1.1770332471450651E-2</v>
      </c>
      <c r="F14" s="18">
        <v>4.2552269410589538E-3</v>
      </c>
      <c r="G14" s="17"/>
      <c r="H14" s="17"/>
      <c r="I14" s="17"/>
      <c r="J14" s="17"/>
    </row>
    <row r="17" spans="1:10" x14ac:dyDescent="0.35">
      <c r="A17" t="s">
        <v>5</v>
      </c>
    </row>
    <row r="21" spans="1:10" x14ac:dyDescent="0.35">
      <c r="A21" s="19"/>
      <c r="B21" s="18"/>
      <c r="C21" s="18"/>
      <c r="D21" s="18"/>
      <c r="E21" s="19"/>
      <c r="F21" s="19"/>
      <c r="G21" s="17"/>
      <c r="H21" s="17"/>
      <c r="I21" s="17"/>
      <c r="J21" s="17"/>
    </row>
    <row r="22" spans="1:10" x14ac:dyDescent="0.35">
      <c r="B22" s="18"/>
      <c r="C22" s="18"/>
      <c r="D22" s="18"/>
      <c r="G22" s="17"/>
      <c r="H22" s="17"/>
      <c r="I22" s="17"/>
      <c r="J22" s="17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zoomScale="69" zoomScaleNormal="69" workbookViewId="0">
      <pane xSplit="1" ySplit="5" topLeftCell="B6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ColWidth="9.08984375" defaultRowHeight="14.5" x14ac:dyDescent="0.35"/>
  <cols>
    <col min="1" max="1" width="20.08984375" style="37" customWidth="1"/>
    <col min="2" max="2" width="11.54296875" style="36" customWidth="1"/>
    <col min="3" max="3" width="11.453125" style="36" customWidth="1"/>
    <col min="4" max="4" width="13" style="36" customWidth="1"/>
    <col min="5" max="6" width="13.08984375" style="36" customWidth="1"/>
    <col min="7" max="9" width="13.81640625" style="36" customWidth="1"/>
    <col min="10" max="11" width="10.81640625" style="36" customWidth="1"/>
    <col min="12" max="12" width="8.6328125" style="2" bestFit="1" customWidth="1"/>
    <col min="13" max="13" width="10.81640625" style="36" bestFit="1" customWidth="1"/>
    <col min="14" max="20" width="10.81640625" style="36" customWidth="1"/>
    <col min="21" max="16384" width="9.08984375" style="36"/>
  </cols>
  <sheetData>
    <row r="1" spans="1:26" ht="26" x14ac:dyDescent="0.6">
      <c r="A1" s="14" t="s">
        <v>104</v>
      </c>
    </row>
    <row r="2" spans="1:26" x14ac:dyDescent="0.35">
      <c r="A2" s="37" t="s">
        <v>103</v>
      </c>
    </row>
    <row r="3" spans="1:26" x14ac:dyDescent="0.35">
      <c r="A3" s="37" t="s">
        <v>102</v>
      </c>
    </row>
    <row r="4" spans="1:26" x14ac:dyDescent="0.35">
      <c r="B4" s="48" t="s">
        <v>101</v>
      </c>
      <c r="C4" s="48"/>
      <c r="D4" s="48"/>
      <c r="G4" s="48"/>
      <c r="H4" s="48"/>
      <c r="I4" s="48"/>
    </row>
    <row r="5" spans="1:26" s="43" customFormat="1" ht="56.25" customHeight="1" x14ac:dyDescent="0.35">
      <c r="A5" s="44"/>
      <c r="B5" s="43" t="s">
        <v>100</v>
      </c>
      <c r="C5" s="43" t="s">
        <v>99</v>
      </c>
      <c r="D5" s="43" t="s">
        <v>98</v>
      </c>
      <c r="E5" s="43" t="s">
        <v>97</v>
      </c>
      <c r="L5" s="18"/>
      <c r="N5" s="21"/>
      <c r="O5" s="21"/>
      <c r="P5" s="21"/>
      <c r="Q5" s="21"/>
      <c r="R5" s="21"/>
      <c r="S5" s="21"/>
      <c r="U5" s="21"/>
      <c r="V5" s="21"/>
      <c r="W5" s="21"/>
      <c r="X5" s="21"/>
      <c r="Y5" s="21"/>
      <c r="Z5" s="21"/>
    </row>
    <row r="6" spans="1:26" x14ac:dyDescent="0.35">
      <c r="A6" s="37">
        <v>2010</v>
      </c>
      <c r="B6" s="40">
        <v>336.67274276321075</v>
      </c>
      <c r="C6" s="40">
        <v>125.63483429872356</v>
      </c>
      <c r="D6" s="40">
        <v>186.34691381520219</v>
      </c>
      <c r="E6" s="41">
        <v>0.19979433245154293</v>
      </c>
      <c r="F6" s="29"/>
      <c r="G6" s="2"/>
      <c r="H6" s="2"/>
      <c r="I6" s="2"/>
      <c r="K6" s="38"/>
      <c r="N6" s="29"/>
      <c r="O6" s="29"/>
      <c r="P6" s="29"/>
      <c r="Q6" s="29"/>
      <c r="R6" s="29"/>
      <c r="S6" s="29"/>
      <c r="U6" s="38"/>
      <c r="V6" s="38"/>
      <c r="W6" s="38"/>
      <c r="X6" s="38"/>
      <c r="Y6" s="38"/>
      <c r="Z6" s="38"/>
    </row>
    <row r="7" spans="1:26" x14ac:dyDescent="0.35">
      <c r="B7" s="40">
        <v>342.52157839511108</v>
      </c>
      <c r="C7" s="40">
        <v>123.47611509357806</v>
      </c>
      <c r="D7" s="40">
        <v>180.04156470162411</v>
      </c>
      <c r="E7" s="41">
        <v>0.19586012303064093</v>
      </c>
      <c r="F7" s="29"/>
      <c r="G7" s="2"/>
      <c r="H7" s="2"/>
      <c r="I7" s="2"/>
      <c r="K7" s="38"/>
      <c r="N7" s="29"/>
      <c r="O7" s="29"/>
      <c r="P7" s="29"/>
      <c r="Q7" s="29"/>
      <c r="R7" s="29"/>
      <c r="S7" s="29"/>
      <c r="U7" s="38"/>
      <c r="V7" s="38"/>
      <c r="W7" s="38"/>
      <c r="X7" s="38"/>
      <c r="Y7" s="38"/>
      <c r="Z7" s="38"/>
    </row>
    <row r="8" spans="1:26" x14ac:dyDescent="0.35">
      <c r="B8" s="40">
        <v>342.81080797787348</v>
      </c>
      <c r="C8" s="40">
        <v>122.60643674010079</v>
      </c>
      <c r="D8" s="40">
        <v>175.27197665296609</v>
      </c>
      <c r="E8" s="41">
        <v>0.19063636510400808</v>
      </c>
      <c r="F8" s="29"/>
      <c r="G8" s="2"/>
      <c r="H8" s="2"/>
      <c r="I8" s="2"/>
      <c r="K8" s="38"/>
      <c r="N8" s="29"/>
      <c r="O8" s="29"/>
      <c r="P8" s="29"/>
      <c r="Q8" s="29"/>
      <c r="R8" s="29"/>
      <c r="S8" s="29"/>
      <c r="U8" s="38"/>
      <c r="V8" s="38"/>
      <c r="W8" s="38"/>
      <c r="X8" s="38"/>
      <c r="Y8" s="38"/>
      <c r="Z8" s="38"/>
    </row>
    <row r="9" spans="1:26" x14ac:dyDescent="0.35">
      <c r="B9" s="40">
        <v>344.06287086380485</v>
      </c>
      <c r="C9" s="40">
        <v>121.96591886043939</v>
      </c>
      <c r="D9" s="40">
        <v>169.8171662988911</v>
      </c>
      <c r="E9" s="41">
        <v>0.18497645030722168</v>
      </c>
      <c r="F9" s="29"/>
      <c r="G9" s="2"/>
      <c r="H9" s="2"/>
      <c r="I9" s="2"/>
      <c r="K9" s="38"/>
      <c r="N9" s="29"/>
      <c r="O9" s="29"/>
      <c r="P9" s="29"/>
      <c r="Q9" s="29"/>
      <c r="R9" s="29"/>
      <c r="S9" s="29"/>
      <c r="U9" s="38"/>
      <c r="V9" s="38"/>
      <c r="W9" s="38"/>
      <c r="X9" s="38"/>
      <c r="Y9" s="38"/>
      <c r="Z9" s="38"/>
    </row>
    <row r="10" spans="1:26" x14ac:dyDescent="0.35">
      <c r="A10" s="37">
        <v>2011</v>
      </c>
      <c r="B10" s="40">
        <v>357.48613495183423</v>
      </c>
      <c r="C10" s="40">
        <v>123.8793559421164</v>
      </c>
      <c r="D10" s="40">
        <v>172.64302538877325</v>
      </c>
      <c r="E10" s="41">
        <v>0.19026974274644531</v>
      </c>
      <c r="F10" s="29"/>
      <c r="G10" s="2"/>
      <c r="H10" s="2"/>
      <c r="I10" s="2"/>
      <c r="K10" s="38"/>
      <c r="N10" s="29"/>
      <c r="O10" s="29"/>
      <c r="P10" s="29"/>
      <c r="Q10" s="29"/>
      <c r="R10" s="29"/>
      <c r="S10" s="29"/>
      <c r="U10" s="38"/>
      <c r="V10" s="38"/>
      <c r="W10" s="38"/>
      <c r="X10" s="38"/>
      <c r="Y10" s="38"/>
      <c r="Z10" s="38"/>
    </row>
    <row r="11" spans="1:26" x14ac:dyDescent="0.35">
      <c r="B11" s="40">
        <v>364.4151756462399</v>
      </c>
      <c r="C11" s="40">
        <v>126.48522663463851</v>
      </c>
      <c r="D11" s="40">
        <v>174.12889662355164</v>
      </c>
      <c r="E11" s="41">
        <v>0.19001082519605819</v>
      </c>
      <c r="F11" s="29"/>
      <c r="G11" s="2"/>
      <c r="H11" s="2"/>
      <c r="I11" s="2"/>
      <c r="K11" s="38"/>
      <c r="N11" s="29"/>
      <c r="O11" s="29"/>
      <c r="P11" s="29"/>
      <c r="Q11" s="29"/>
      <c r="R11" s="29"/>
      <c r="S11" s="29"/>
      <c r="U11" s="38"/>
      <c r="V11" s="38"/>
      <c r="W11" s="38"/>
      <c r="X11" s="38"/>
      <c r="Y11" s="38"/>
      <c r="Z11" s="38"/>
    </row>
    <row r="12" spans="1:26" x14ac:dyDescent="0.35">
      <c r="B12" s="40">
        <v>377.82096130536502</v>
      </c>
      <c r="C12" s="40">
        <v>128.96962801652001</v>
      </c>
      <c r="D12" s="40">
        <v>175.68020851943325</v>
      </c>
      <c r="E12" s="41">
        <v>0.19115693357492239</v>
      </c>
      <c r="F12" s="29"/>
      <c r="G12" s="2"/>
      <c r="H12" s="2"/>
      <c r="I12" s="2"/>
      <c r="K12" s="38"/>
      <c r="N12" s="29"/>
      <c r="O12" s="29"/>
      <c r="P12" s="29"/>
      <c r="Q12" s="29"/>
      <c r="R12" s="29"/>
      <c r="S12" s="29"/>
      <c r="U12" s="38"/>
      <c r="V12" s="38"/>
      <c r="W12" s="38"/>
      <c r="X12" s="38"/>
      <c r="Y12" s="38"/>
      <c r="Z12" s="38"/>
    </row>
    <row r="13" spans="1:26" x14ac:dyDescent="0.35">
      <c r="B13" s="40">
        <v>379.68619154588293</v>
      </c>
      <c r="C13" s="40">
        <v>134.38562474996982</v>
      </c>
      <c r="D13" s="40">
        <v>175.62795037896674</v>
      </c>
      <c r="E13" s="41">
        <v>0.19339872663384206</v>
      </c>
      <c r="F13" s="29"/>
      <c r="G13" s="2"/>
      <c r="H13" s="2"/>
      <c r="I13" s="2"/>
      <c r="K13" s="38"/>
      <c r="N13" s="29"/>
      <c r="O13" s="29"/>
      <c r="P13" s="29"/>
      <c r="Q13" s="29"/>
      <c r="R13" s="29"/>
      <c r="S13" s="29"/>
      <c r="U13" s="38"/>
      <c r="V13" s="38"/>
      <c r="W13" s="38"/>
      <c r="X13" s="38"/>
      <c r="Y13" s="38"/>
      <c r="Z13" s="38"/>
    </row>
    <row r="14" spans="1:26" x14ac:dyDescent="0.35">
      <c r="A14" s="37">
        <v>2012</v>
      </c>
      <c r="B14" s="40">
        <v>372.97112322271869</v>
      </c>
      <c r="C14" s="40">
        <v>138.75966920599373</v>
      </c>
      <c r="D14" s="40">
        <v>171.33303932027115</v>
      </c>
      <c r="E14" s="41">
        <v>0.19196016408470856</v>
      </c>
      <c r="F14" s="29"/>
      <c r="G14" s="2"/>
      <c r="H14" s="2"/>
      <c r="I14" s="2"/>
      <c r="K14" s="38"/>
      <c r="N14" s="29"/>
      <c r="O14" s="29"/>
      <c r="P14" s="29"/>
      <c r="Q14" s="29"/>
      <c r="R14" s="29"/>
      <c r="S14" s="29"/>
      <c r="U14" s="38"/>
      <c r="V14" s="38"/>
      <c r="W14" s="38"/>
      <c r="X14" s="38"/>
      <c r="Y14" s="38"/>
      <c r="Z14" s="38"/>
    </row>
    <row r="15" spans="1:26" x14ac:dyDescent="0.35">
      <c r="B15" s="40">
        <v>379.33844309003854</v>
      </c>
      <c r="C15" s="40">
        <v>138.75356769995662</v>
      </c>
      <c r="D15" s="40">
        <v>177.99270632130165</v>
      </c>
      <c r="E15" s="41">
        <v>0.19541007100253607</v>
      </c>
      <c r="F15" s="29"/>
      <c r="G15" s="2"/>
      <c r="H15" s="2"/>
      <c r="I15" s="2"/>
      <c r="K15" s="38"/>
      <c r="N15" s="29"/>
      <c r="O15" s="29"/>
      <c r="P15" s="29"/>
      <c r="Q15" s="29"/>
      <c r="R15" s="29"/>
      <c r="S15" s="29"/>
      <c r="U15" s="38"/>
      <c r="V15" s="38"/>
      <c r="W15" s="38"/>
      <c r="X15" s="38"/>
      <c r="Y15" s="38"/>
      <c r="Z15" s="38"/>
    </row>
    <row r="16" spans="1:26" x14ac:dyDescent="0.35">
      <c r="B16" s="40">
        <v>371.37318148163359</v>
      </c>
      <c r="C16" s="40">
        <v>137.02312458087093</v>
      </c>
      <c r="D16" s="40">
        <v>185.20678852212157</v>
      </c>
      <c r="E16" s="41">
        <v>0.19164099549741889</v>
      </c>
      <c r="F16" s="29"/>
      <c r="G16" s="2"/>
      <c r="H16" s="2"/>
      <c r="I16" s="2"/>
      <c r="K16" s="38"/>
      <c r="N16" s="29"/>
      <c r="O16" s="29"/>
      <c r="P16" s="29"/>
      <c r="Q16" s="29"/>
      <c r="R16" s="29"/>
      <c r="S16" s="29"/>
      <c r="U16" s="38"/>
      <c r="V16" s="38"/>
      <c r="W16" s="38"/>
      <c r="X16" s="38"/>
      <c r="Y16" s="38"/>
      <c r="Z16" s="38"/>
    </row>
    <row r="17" spans="1:26" x14ac:dyDescent="0.35">
      <c r="B17" s="40">
        <v>374.13710118463399</v>
      </c>
      <c r="C17" s="40">
        <v>136.80618280113072</v>
      </c>
      <c r="D17" s="40">
        <v>189.94048342286555</v>
      </c>
      <c r="E17" s="41">
        <v>0.19217117973652365</v>
      </c>
      <c r="F17" s="29"/>
      <c r="G17" s="2"/>
      <c r="H17" s="2"/>
      <c r="I17" s="2"/>
      <c r="K17" s="38"/>
      <c r="N17" s="29"/>
      <c r="O17" s="29"/>
      <c r="P17" s="29"/>
      <c r="Q17" s="29"/>
      <c r="R17" s="29"/>
      <c r="S17" s="29"/>
      <c r="U17" s="38"/>
      <c r="V17" s="38"/>
      <c r="W17" s="38"/>
      <c r="X17" s="38"/>
      <c r="Y17" s="38"/>
      <c r="Z17" s="38"/>
    </row>
    <row r="18" spans="1:26" x14ac:dyDescent="0.35">
      <c r="A18" s="37">
        <v>2013</v>
      </c>
      <c r="B18" s="40">
        <v>386.93294892854243</v>
      </c>
      <c r="C18" s="40">
        <v>139.97851502377372</v>
      </c>
      <c r="D18" s="40">
        <v>188.15922537298567</v>
      </c>
      <c r="E18" s="41">
        <v>0.19629451414615792</v>
      </c>
      <c r="F18" s="29"/>
      <c r="G18" s="2"/>
      <c r="H18" s="2"/>
      <c r="I18" s="2"/>
      <c r="K18" s="38"/>
      <c r="N18" s="29"/>
      <c r="O18" s="29"/>
      <c r="P18" s="29"/>
      <c r="Q18" s="29"/>
      <c r="R18" s="29"/>
      <c r="S18" s="29"/>
      <c r="U18" s="38"/>
      <c r="V18" s="38"/>
      <c r="W18" s="38"/>
      <c r="X18" s="38"/>
      <c r="Y18" s="38"/>
      <c r="Z18" s="38"/>
    </row>
    <row r="19" spans="1:26" x14ac:dyDescent="0.35">
      <c r="B19" s="40">
        <v>396.98990783108911</v>
      </c>
      <c r="C19" s="40">
        <v>143.23803428851321</v>
      </c>
      <c r="D19" s="40">
        <v>195.93253300519129</v>
      </c>
      <c r="E19" s="41">
        <v>0.20084544286450376</v>
      </c>
      <c r="F19" s="29"/>
      <c r="G19" s="2"/>
      <c r="H19" s="2"/>
      <c r="I19" s="2"/>
      <c r="K19" s="38"/>
      <c r="N19" s="29"/>
      <c r="O19" s="29"/>
      <c r="P19" s="29"/>
      <c r="Q19" s="29"/>
      <c r="R19" s="29"/>
      <c r="S19" s="29"/>
      <c r="U19" s="38"/>
      <c r="V19" s="38"/>
      <c r="W19" s="38"/>
      <c r="X19" s="38"/>
      <c r="Y19" s="38"/>
      <c r="Z19" s="38"/>
    </row>
    <row r="20" spans="1:26" x14ac:dyDescent="0.35">
      <c r="B20" s="40">
        <v>411.72223367629726</v>
      </c>
      <c r="C20" s="40">
        <v>146.73231665075915</v>
      </c>
      <c r="D20" s="40">
        <v>195.73267169306709</v>
      </c>
      <c r="E20" s="41">
        <v>0.2087589501378814</v>
      </c>
      <c r="F20" s="29"/>
      <c r="G20" s="2"/>
      <c r="H20" s="2"/>
      <c r="I20" s="2"/>
      <c r="K20" s="38"/>
      <c r="N20" s="29"/>
      <c r="O20" s="29"/>
      <c r="P20" s="29"/>
      <c r="Q20" s="29"/>
      <c r="R20" s="29"/>
      <c r="S20" s="29"/>
      <c r="U20" s="38"/>
      <c r="V20" s="38"/>
      <c r="W20" s="38"/>
      <c r="X20" s="38"/>
      <c r="Y20" s="38"/>
      <c r="Z20" s="38"/>
    </row>
    <row r="21" spans="1:26" x14ac:dyDescent="0.35">
      <c r="B21" s="40">
        <v>415.07888582804333</v>
      </c>
      <c r="C21" s="40">
        <v>156.69726354590182</v>
      </c>
      <c r="D21" s="40">
        <v>192.52514498724076</v>
      </c>
      <c r="E21" s="41">
        <v>0.20853676921251052</v>
      </c>
      <c r="F21" s="29"/>
      <c r="G21" s="2"/>
      <c r="H21" s="2"/>
      <c r="I21" s="2"/>
      <c r="K21" s="38"/>
      <c r="N21" s="29"/>
      <c r="O21" s="29"/>
      <c r="P21" s="29"/>
      <c r="Q21" s="29"/>
      <c r="R21" s="29"/>
      <c r="S21" s="29"/>
      <c r="U21" s="38"/>
      <c r="V21" s="38"/>
      <c r="W21" s="38"/>
      <c r="X21" s="38"/>
      <c r="Y21" s="38"/>
      <c r="Z21" s="38"/>
    </row>
    <row r="22" spans="1:26" x14ac:dyDescent="0.35">
      <c r="A22" s="37">
        <v>2014</v>
      </c>
      <c r="B22" s="40">
        <v>409.79662181731902</v>
      </c>
      <c r="C22" s="40">
        <v>150.40737615111965</v>
      </c>
      <c r="D22" s="40">
        <v>183.18202587390343</v>
      </c>
      <c r="E22" s="41">
        <v>0.20801952941276602</v>
      </c>
      <c r="F22" s="29"/>
      <c r="G22" s="2"/>
      <c r="H22" s="2"/>
      <c r="I22" s="2"/>
      <c r="K22" s="38"/>
      <c r="N22" s="29"/>
      <c r="O22" s="29"/>
      <c r="P22" s="29"/>
      <c r="Q22" s="29"/>
      <c r="R22" s="29"/>
      <c r="S22" s="29"/>
      <c r="U22" s="38"/>
      <c r="V22" s="38"/>
      <c r="W22" s="38"/>
      <c r="X22" s="38"/>
      <c r="Y22" s="38"/>
      <c r="Z22" s="38"/>
    </row>
    <row r="23" spans="1:26" x14ac:dyDescent="0.35">
      <c r="B23" s="40">
        <v>400.8068480759959</v>
      </c>
      <c r="C23" s="40">
        <v>154.32869970718056</v>
      </c>
      <c r="D23" s="40">
        <v>182.25822897319131</v>
      </c>
      <c r="E23" s="41">
        <v>0.20250901174820551</v>
      </c>
      <c r="F23" s="29"/>
      <c r="G23" s="2"/>
      <c r="H23" s="2"/>
      <c r="I23" s="2"/>
      <c r="K23" s="38"/>
      <c r="N23" s="29"/>
      <c r="O23" s="29"/>
      <c r="P23" s="29"/>
      <c r="Q23" s="29"/>
      <c r="R23" s="29"/>
      <c r="S23" s="29"/>
      <c r="U23" s="38"/>
      <c r="V23" s="38"/>
      <c r="W23" s="38"/>
      <c r="X23" s="38"/>
      <c r="Y23" s="38"/>
      <c r="Z23" s="38"/>
    </row>
    <row r="24" spans="1:26" x14ac:dyDescent="0.35">
      <c r="B24" s="40">
        <v>408.37266752599493</v>
      </c>
      <c r="C24" s="40">
        <v>155.49415414774344</v>
      </c>
      <c r="D24" s="40">
        <v>180.9628018257109</v>
      </c>
      <c r="E24" s="41">
        <v>0.20373719474820587</v>
      </c>
      <c r="F24" s="29"/>
      <c r="G24" s="2"/>
      <c r="H24" s="2"/>
      <c r="I24" s="2"/>
      <c r="K24" s="38"/>
      <c r="N24" s="29"/>
      <c r="O24" s="29"/>
      <c r="P24" s="29"/>
      <c r="Q24" s="29"/>
      <c r="R24" s="29"/>
      <c r="S24" s="29"/>
      <c r="U24" s="38"/>
      <c r="V24" s="38"/>
      <c r="W24" s="38"/>
      <c r="X24" s="38"/>
      <c r="Y24" s="38"/>
      <c r="Z24" s="38"/>
    </row>
    <row r="25" spans="1:26" x14ac:dyDescent="0.35">
      <c r="B25" s="40">
        <v>417.24518800106779</v>
      </c>
      <c r="C25" s="40">
        <v>157.26514962689825</v>
      </c>
      <c r="D25" s="40">
        <v>182.30531286008085</v>
      </c>
      <c r="E25" s="41">
        <v>0.20342451438937467</v>
      </c>
      <c r="F25" s="29"/>
      <c r="G25" s="2"/>
      <c r="H25" s="2"/>
      <c r="I25" s="2"/>
      <c r="K25" s="38"/>
      <c r="N25" s="29"/>
      <c r="O25" s="29"/>
      <c r="P25" s="29"/>
      <c r="Q25" s="29"/>
      <c r="R25" s="29"/>
      <c r="S25" s="29"/>
      <c r="U25" s="38"/>
      <c r="V25" s="38"/>
      <c r="W25" s="38"/>
      <c r="X25" s="38"/>
      <c r="Y25" s="38"/>
      <c r="Z25" s="38"/>
    </row>
    <row r="26" spans="1:26" x14ac:dyDescent="0.35">
      <c r="A26" s="37">
        <v>2015</v>
      </c>
      <c r="B26" s="40">
        <v>411.95918549136121</v>
      </c>
      <c r="C26" s="40">
        <v>164.58887725548354</v>
      </c>
      <c r="D26" s="40">
        <v>198.02914367611308</v>
      </c>
      <c r="E26" s="41">
        <v>0.20439360556303215</v>
      </c>
      <c r="F26" s="29"/>
      <c r="G26" s="2"/>
      <c r="H26" s="2"/>
      <c r="I26" s="2"/>
      <c r="K26" s="38"/>
      <c r="N26" s="29"/>
      <c r="O26" s="29"/>
      <c r="P26" s="29"/>
      <c r="Q26" s="29"/>
      <c r="R26" s="29"/>
      <c r="S26" s="29"/>
      <c r="U26" s="38"/>
      <c r="V26" s="38"/>
      <c r="W26" s="38"/>
      <c r="X26" s="38"/>
      <c r="Y26" s="38"/>
      <c r="Z26" s="38"/>
    </row>
    <row r="27" spans="1:26" x14ac:dyDescent="0.35">
      <c r="B27" s="40">
        <v>405.21130858632858</v>
      </c>
      <c r="C27" s="40">
        <v>172.93571052272716</v>
      </c>
      <c r="D27" s="40">
        <v>187.71334964446342</v>
      </c>
      <c r="E27" s="41">
        <v>0.20116461470464056</v>
      </c>
      <c r="F27" s="29"/>
      <c r="G27" s="2"/>
      <c r="H27" s="2"/>
      <c r="I27" s="2"/>
      <c r="K27" s="38"/>
      <c r="N27" s="29"/>
      <c r="O27" s="29"/>
      <c r="P27" s="29"/>
      <c r="Q27" s="29"/>
      <c r="R27" s="29"/>
      <c r="S27" s="29"/>
      <c r="U27" s="38"/>
      <c r="V27" s="38"/>
      <c r="W27" s="38"/>
      <c r="X27" s="38"/>
      <c r="Y27" s="38"/>
      <c r="Z27" s="38"/>
    </row>
    <row r="28" spans="1:26" x14ac:dyDescent="0.35">
      <c r="B28" s="40">
        <v>410.79108433801366</v>
      </c>
      <c r="C28" s="40">
        <v>180.93763087659801</v>
      </c>
      <c r="D28" s="40">
        <v>194.31922240197139</v>
      </c>
      <c r="E28" s="41">
        <v>0.20689686956317352</v>
      </c>
      <c r="F28" s="29"/>
      <c r="G28" s="2"/>
      <c r="H28" s="2"/>
      <c r="I28" s="2"/>
      <c r="K28" s="38"/>
      <c r="N28" s="29"/>
      <c r="O28" s="29"/>
      <c r="P28" s="29"/>
      <c r="Q28" s="29"/>
      <c r="R28" s="29"/>
      <c r="S28" s="29"/>
      <c r="U28" s="38"/>
      <c r="V28" s="38"/>
      <c r="W28" s="38"/>
      <c r="X28" s="38"/>
      <c r="Y28" s="38"/>
      <c r="Z28" s="38"/>
    </row>
    <row r="29" spans="1:26" x14ac:dyDescent="0.35">
      <c r="B29" s="40">
        <v>392.89829790652988</v>
      </c>
      <c r="C29" s="40">
        <v>188.25078684326849</v>
      </c>
      <c r="D29" s="40">
        <v>185.72962364768915</v>
      </c>
      <c r="E29" s="41">
        <v>0.20148514586260347</v>
      </c>
      <c r="F29" s="29"/>
      <c r="G29" s="2"/>
      <c r="H29" s="2"/>
      <c r="I29" s="2"/>
      <c r="K29" s="38"/>
      <c r="N29" s="29"/>
      <c r="O29" s="29"/>
      <c r="P29" s="29"/>
      <c r="Q29" s="29"/>
      <c r="R29" s="29"/>
      <c r="S29" s="29"/>
      <c r="U29" s="38"/>
      <c r="V29" s="38"/>
      <c r="W29" s="38"/>
      <c r="X29" s="38"/>
      <c r="Y29" s="38"/>
      <c r="Z29" s="38"/>
    </row>
    <row r="30" spans="1:26" x14ac:dyDescent="0.35">
      <c r="A30" s="37">
        <v>2016</v>
      </c>
      <c r="B30" s="40">
        <v>394.48438324596538</v>
      </c>
      <c r="C30" s="40">
        <v>177.32764502602194</v>
      </c>
      <c r="D30" s="40">
        <v>185.09794323016934</v>
      </c>
      <c r="E30" s="41">
        <v>0.20099806067865694</v>
      </c>
      <c r="F30" s="29"/>
      <c r="G30" s="2"/>
      <c r="H30" s="2"/>
      <c r="I30" s="2"/>
      <c r="K30" s="38"/>
      <c r="N30" s="29"/>
      <c r="O30" s="29"/>
      <c r="P30" s="29"/>
      <c r="Q30" s="29"/>
      <c r="R30" s="29"/>
      <c r="S30" s="29"/>
      <c r="U30" s="38"/>
      <c r="V30" s="38"/>
      <c r="W30" s="38"/>
      <c r="X30" s="38"/>
      <c r="Y30" s="38"/>
      <c r="Z30" s="38"/>
    </row>
    <row r="31" spans="1:26" x14ac:dyDescent="0.35">
      <c r="B31" s="40">
        <v>389.30485564088696</v>
      </c>
      <c r="C31" s="40">
        <v>166.73033426337742</v>
      </c>
      <c r="D31" s="40">
        <v>186.00824368931578</v>
      </c>
      <c r="E31" s="41">
        <v>0.19516621735264747</v>
      </c>
      <c r="F31" s="29"/>
      <c r="G31" s="2"/>
      <c r="H31" s="2"/>
      <c r="I31" s="2"/>
      <c r="K31" s="38"/>
      <c r="N31" s="29"/>
      <c r="O31" s="29"/>
      <c r="P31" s="29"/>
      <c r="Q31" s="29"/>
      <c r="R31" s="29"/>
      <c r="S31" s="29"/>
      <c r="U31" s="38"/>
      <c r="V31" s="38"/>
      <c r="W31" s="38"/>
      <c r="X31" s="38"/>
      <c r="Y31" s="38"/>
      <c r="Z31" s="38"/>
    </row>
    <row r="32" spans="1:26" x14ac:dyDescent="0.35">
      <c r="B32" s="40">
        <v>386.47656481720054</v>
      </c>
      <c r="C32" s="40">
        <v>160.06227252045616</v>
      </c>
      <c r="D32" s="40">
        <v>183.01959422410386</v>
      </c>
      <c r="E32" s="41">
        <v>0.19048178042922914</v>
      </c>
      <c r="F32" s="29"/>
      <c r="G32" s="2"/>
      <c r="H32" s="2"/>
      <c r="I32" s="2"/>
      <c r="K32" s="38"/>
      <c r="N32" s="29"/>
      <c r="O32" s="29"/>
      <c r="P32" s="29"/>
      <c r="Q32" s="29"/>
      <c r="R32" s="29"/>
      <c r="S32" s="29"/>
      <c r="U32" s="38"/>
      <c r="V32" s="38"/>
      <c r="W32" s="38"/>
      <c r="X32" s="38"/>
      <c r="Y32" s="38"/>
      <c r="Z32" s="38"/>
    </row>
    <row r="33" spans="1:26" x14ac:dyDescent="0.35">
      <c r="B33" s="40">
        <v>402.85764492787268</v>
      </c>
      <c r="C33" s="40">
        <v>163.48142187642384</v>
      </c>
      <c r="D33" s="40">
        <v>183.27803805096397</v>
      </c>
      <c r="E33" s="41">
        <v>0.1923561846865863</v>
      </c>
      <c r="F33" s="29"/>
      <c r="G33" s="2"/>
      <c r="H33" s="2"/>
      <c r="I33" s="2"/>
      <c r="K33" s="38"/>
      <c r="N33" s="29"/>
      <c r="O33" s="29"/>
      <c r="P33" s="29"/>
      <c r="Q33" s="29"/>
      <c r="R33" s="29"/>
      <c r="S33" s="29"/>
      <c r="U33" s="38"/>
      <c r="V33" s="38"/>
      <c r="W33" s="38"/>
      <c r="X33" s="38"/>
      <c r="Y33" s="38"/>
      <c r="Z33" s="38"/>
    </row>
    <row r="34" spans="1:26" x14ac:dyDescent="0.35">
      <c r="A34" s="37">
        <v>2017</v>
      </c>
      <c r="B34" s="40">
        <v>403.28013425595549</v>
      </c>
      <c r="C34" s="40">
        <v>164.87575163605783</v>
      </c>
      <c r="D34" s="40">
        <v>175.11194687739399</v>
      </c>
      <c r="E34" s="41">
        <v>0.19006287150863974</v>
      </c>
      <c r="F34" s="29"/>
      <c r="G34" s="2"/>
      <c r="H34" s="2"/>
      <c r="I34" s="2"/>
      <c r="K34" s="38"/>
      <c r="M34" s="21"/>
      <c r="N34" s="29"/>
      <c r="O34" s="29"/>
      <c r="P34" s="29"/>
      <c r="Q34" s="29"/>
      <c r="R34" s="29"/>
      <c r="S34" s="29"/>
      <c r="T34" s="21"/>
      <c r="U34" s="38"/>
      <c r="V34" s="38"/>
      <c r="W34" s="38"/>
      <c r="X34" s="38"/>
      <c r="Y34" s="38"/>
      <c r="Z34" s="38"/>
    </row>
    <row r="35" spans="1:26" x14ac:dyDescent="0.35">
      <c r="B35" s="40">
        <v>412.33210660423288</v>
      </c>
      <c r="C35" s="40">
        <v>165.4870882950089</v>
      </c>
      <c r="D35" s="40">
        <v>169.14783755393307</v>
      </c>
      <c r="E35" s="41">
        <v>0.18981103226262602</v>
      </c>
      <c r="F35" s="29"/>
      <c r="G35" s="2"/>
      <c r="H35" s="2"/>
      <c r="I35" s="2"/>
      <c r="K35" s="38"/>
      <c r="M35" s="21"/>
      <c r="N35" s="29"/>
      <c r="O35" s="29"/>
      <c r="P35" s="29"/>
      <c r="Q35" s="29"/>
      <c r="R35" s="29"/>
      <c r="S35" s="29"/>
      <c r="T35" s="21"/>
      <c r="U35" s="38"/>
      <c r="V35" s="38"/>
      <c r="W35" s="38"/>
      <c r="X35" s="38"/>
      <c r="Y35" s="38"/>
      <c r="Z35" s="38"/>
    </row>
    <row r="36" spans="1:26" x14ac:dyDescent="0.35">
      <c r="B36" s="40">
        <v>407.67891381912381</v>
      </c>
      <c r="C36" s="40">
        <v>168.7860727044457</v>
      </c>
      <c r="D36" s="40">
        <v>152.17561793433731</v>
      </c>
      <c r="E36" s="41">
        <v>0.18219842555226895</v>
      </c>
      <c r="F36" s="29"/>
      <c r="G36" s="2"/>
      <c r="H36" s="2"/>
      <c r="I36" s="2"/>
      <c r="K36" s="38"/>
      <c r="M36" s="21"/>
      <c r="N36" s="29"/>
      <c r="O36" s="29"/>
      <c r="P36" s="29"/>
      <c r="Q36" s="29"/>
      <c r="R36" s="29"/>
      <c r="S36" s="29"/>
      <c r="T36" s="21"/>
      <c r="U36" s="38"/>
      <c r="V36" s="38"/>
      <c r="W36" s="38"/>
      <c r="X36" s="38"/>
      <c r="Y36" s="38"/>
      <c r="Z36" s="38"/>
    </row>
    <row r="37" spans="1:26" x14ac:dyDescent="0.35">
      <c r="B37" s="40">
        <v>428.69544910851272</v>
      </c>
      <c r="C37" s="40">
        <v>169.84486747011132</v>
      </c>
      <c r="D37" s="40">
        <v>154.82362440406152</v>
      </c>
      <c r="E37" s="41">
        <v>0.18773396412245805</v>
      </c>
      <c r="F37" s="29"/>
      <c r="G37" s="2"/>
      <c r="H37" s="2"/>
      <c r="I37" s="2"/>
      <c r="K37" s="38"/>
      <c r="N37" s="29"/>
      <c r="O37" s="29"/>
      <c r="P37" s="29"/>
      <c r="Q37" s="29"/>
      <c r="R37" s="29"/>
      <c r="S37" s="29"/>
      <c r="U37" s="38"/>
      <c r="V37" s="38"/>
      <c r="W37" s="38"/>
      <c r="X37" s="38"/>
      <c r="Y37" s="38"/>
      <c r="Z37" s="38"/>
    </row>
    <row r="38" spans="1:26" x14ac:dyDescent="0.35">
      <c r="A38" s="37">
        <v>2018</v>
      </c>
      <c r="B38" s="40">
        <v>421.36950872802709</v>
      </c>
      <c r="C38" s="40">
        <v>163.49874492384123</v>
      </c>
      <c r="D38" s="40">
        <v>148.45086701775909</v>
      </c>
      <c r="E38" s="41">
        <v>0.1860741583368683</v>
      </c>
      <c r="F38" s="29"/>
      <c r="G38" s="2"/>
      <c r="H38" s="2"/>
      <c r="I38" s="2"/>
      <c r="K38" s="38"/>
      <c r="N38" s="29"/>
      <c r="O38" s="29"/>
      <c r="P38" s="29"/>
      <c r="Q38" s="29"/>
      <c r="R38" s="29"/>
      <c r="S38" s="29"/>
      <c r="U38" s="38"/>
      <c r="V38" s="38"/>
      <c r="W38" s="38"/>
      <c r="X38" s="38"/>
      <c r="Y38" s="38"/>
      <c r="Z38" s="38"/>
    </row>
    <row r="39" spans="1:26" x14ac:dyDescent="0.35">
      <c r="B39" s="40">
        <v>419.97783831058183</v>
      </c>
      <c r="C39" s="40">
        <v>161.71138247868001</v>
      </c>
      <c r="D39" s="40">
        <v>143.01994297878986</v>
      </c>
      <c r="E39" s="41">
        <v>0.1807566784706735</v>
      </c>
      <c r="F39" s="29"/>
      <c r="G39" s="2"/>
      <c r="H39" s="2"/>
      <c r="I39" s="2"/>
      <c r="K39" s="38"/>
      <c r="N39" s="29"/>
      <c r="O39" s="29"/>
      <c r="P39" s="29"/>
      <c r="Q39" s="29"/>
      <c r="R39" s="29"/>
      <c r="S39" s="29"/>
      <c r="U39" s="38"/>
      <c r="V39" s="38"/>
      <c r="W39" s="38"/>
      <c r="X39" s="38"/>
      <c r="Y39" s="38"/>
      <c r="Z39" s="38"/>
    </row>
    <row r="40" spans="1:26" x14ac:dyDescent="0.35">
      <c r="B40" s="40">
        <v>423.03085130868425</v>
      </c>
      <c r="C40" s="40">
        <v>157.93671685132657</v>
      </c>
      <c r="D40" s="40">
        <v>140.10784555032825</v>
      </c>
      <c r="E40" s="41">
        <v>0.18145014323661163</v>
      </c>
      <c r="F40" s="29"/>
      <c r="G40" s="2"/>
      <c r="H40" s="2"/>
      <c r="I40" s="2"/>
      <c r="K40" s="38"/>
      <c r="N40" s="29"/>
      <c r="O40" s="29"/>
      <c r="P40" s="29"/>
      <c r="Q40" s="29"/>
      <c r="R40" s="29"/>
      <c r="S40" s="29"/>
      <c r="U40" s="38"/>
      <c r="V40" s="38"/>
      <c r="W40" s="38"/>
      <c r="X40" s="38"/>
      <c r="Y40" s="38"/>
      <c r="Z40" s="38"/>
    </row>
    <row r="41" spans="1:26" x14ac:dyDescent="0.35">
      <c r="B41" s="40">
        <v>421.49337914194331</v>
      </c>
      <c r="C41" s="40">
        <v>156.28354051091134</v>
      </c>
      <c r="D41" s="40">
        <v>138.09359407571745</v>
      </c>
      <c r="E41" s="41">
        <v>0.18295910147727759</v>
      </c>
      <c r="F41" s="29"/>
      <c r="G41" s="2"/>
      <c r="H41" s="2"/>
      <c r="I41" s="2"/>
      <c r="K41" s="38"/>
      <c r="N41" s="29"/>
      <c r="O41" s="29"/>
      <c r="P41" s="29"/>
      <c r="Q41" s="29"/>
      <c r="R41" s="29"/>
      <c r="S41" s="29"/>
      <c r="U41" s="38"/>
      <c r="V41" s="38"/>
      <c r="W41" s="38"/>
      <c r="X41" s="38"/>
      <c r="Y41" s="38"/>
      <c r="Z41" s="38"/>
    </row>
    <row r="42" spans="1:26" x14ac:dyDescent="0.35">
      <c r="A42" s="37">
        <v>2019</v>
      </c>
      <c r="B42" s="40">
        <v>412.39150187140621</v>
      </c>
      <c r="C42" s="40">
        <v>155.42412312289534</v>
      </c>
      <c r="D42" s="40">
        <v>143.41109582208486</v>
      </c>
      <c r="E42" s="41">
        <v>0.18013054387156768</v>
      </c>
      <c r="F42" s="29"/>
      <c r="G42" s="2"/>
      <c r="H42" s="2"/>
      <c r="I42" s="2"/>
      <c r="K42" s="38"/>
      <c r="N42" s="29"/>
      <c r="O42" s="29"/>
      <c r="P42" s="29"/>
      <c r="Q42" s="29"/>
      <c r="R42" s="29"/>
      <c r="S42" s="29"/>
      <c r="U42" s="17"/>
      <c r="V42" s="17"/>
      <c r="W42" s="17"/>
      <c r="X42" s="38"/>
      <c r="Y42" s="38"/>
      <c r="Z42" s="38"/>
    </row>
    <row r="43" spans="1:26" x14ac:dyDescent="0.35">
      <c r="B43" s="40">
        <v>427.96527591490849</v>
      </c>
      <c r="C43" s="40">
        <v>148.65816166292038</v>
      </c>
      <c r="D43" s="40">
        <v>138.89032077346599</v>
      </c>
      <c r="E43" s="41">
        <v>0.18129666823551221</v>
      </c>
      <c r="F43" s="29"/>
      <c r="G43" s="2"/>
      <c r="H43" s="2"/>
      <c r="I43" s="2"/>
      <c r="K43" s="38"/>
      <c r="N43" s="29"/>
      <c r="O43" s="29"/>
      <c r="P43" s="29"/>
      <c r="Q43" s="29"/>
      <c r="R43" s="29"/>
      <c r="S43" s="29"/>
      <c r="U43" s="17"/>
      <c r="V43" s="17"/>
      <c r="W43" s="17"/>
      <c r="X43" s="38"/>
      <c r="Y43" s="38"/>
      <c r="Z43" s="38"/>
    </row>
    <row r="44" spans="1:26" x14ac:dyDescent="0.35">
      <c r="B44" s="40">
        <v>437.76526368573928</v>
      </c>
      <c r="C44" s="40">
        <v>142.4658783637062</v>
      </c>
      <c r="D44" s="40">
        <v>139.14176120861558</v>
      </c>
      <c r="E44" s="41">
        <v>0.18074512720714173</v>
      </c>
      <c r="F44" s="29"/>
      <c r="G44" s="2"/>
      <c r="H44" s="2"/>
      <c r="I44" s="2"/>
      <c r="K44" s="38"/>
      <c r="N44" s="29"/>
      <c r="O44" s="29"/>
      <c r="P44" s="29"/>
      <c r="Q44" s="29"/>
      <c r="R44" s="29"/>
      <c r="S44" s="29"/>
      <c r="U44" s="17"/>
      <c r="V44" s="17"/>
      <c r="W44" s="17"/>
      <c r="X44" s="38"/>
      <c r="Y44" s="38"/>
      <c r="Z44" s="38"/>
    </row>
    <row r="45" spans="1:26" x14ac:dyDescent="0.35">
      <c r="B45" s="40">
        <v>426.04783956423069</v>
      </c>
      <c r="C45" s="40">
        <v>135.74041551664044</v>
      </c>
      <c r="D45" s="40">
        <v>139.05308226450657</v>
      </c>
      <c r="E45" s="41">
        <v>0.17655387239774106</v>
      </c>
      <c r="F45" s="29"/>
      <c r="G45" s="2"/>
      <c r="H45" s="2"/>
      <c r="I45" s="2"/>
      <c r="K45" s="38"/>
      <c r="N45" s="29"/>
      <c r="O45" s="29"/>
      <c r="P45" s="29"/>
      <c r="Q45" s="29"/>
      <c r="R45" s="29"/>
      <c r="S45" s="29"/>
      <c r="U45" s="17"/>
      <c r="V45" s="17"/>
      <c r="W45" s="17"/>
      <c r="X45" s="38"/>
      <c r="Y45" s="38"/>
      <c r="Z45" s="38"/>
    </row>
    <row r="46" spans="1:26" x14ac:dyDescent="0.35">
      <c r="A46" s="37">
        <v>2020</v>
      </c>
      <c r="B46" s="40">
        <v>392.05267087624924</v>
      </c>
      <c r="C46" s="40">
        <v>137.99216868086395</v>
      </c>
      <c r="D46" s="40">
        <v>142.92315725849838</v>
      </c>
      <c r="E46" s="41">
        <v>0.16706972471599002</v>
      </c>
      <c r="F46" s="29"/>
      <c r="G46" s="2"/>
      <c r="H46" s="2"/>
      <c r="I46" s="2"/>
      <c r="K46" s="38"/>
      <c r="N46" s="29"/>
      <c r="O46" s="29"/>
      <c r="P46" s="29"/>
      <c r="Q46" s="29"/>
      <c r="R46" s="29"/>
      <c r="S46" s="29"/>
      <c r="U46" s="17"/>
      <c r="V46" s="17"/>
      <c r="W46" s="17"/>
      <c r="X46" s="38"/>
      <c r="Y46" s="38"/>
      <c r="Z46" s="38"/>
    </row>
    <row r="47" spans="1:26" x14ac:dyDescent="0.35">
      <c r="B47" s="40">
        <v>306.61063280856666</v>
      </c>
      <c r="C47" s="40">
        <v>142.35809965011765</v>
      </c>
      <c r="D47" s="40">
        <v>92.45055095383681</v>
      </c>
      <c r="E47" s="41">
        <v>0.16012767177504098</v>
      </c>
      <c r="F47" s="42"/>
      <c r="G47" s="2"/>
      <c r="H47" s="2"/>
      <c r="I47" s="2"/>
      <c r="K47" s="38"/>
      <c r="N47" s="29"/>
      <c r="O47" s="29"/>
      <c r="P47" s="29"/>
      <c r="Q47" s="29"/>
      <c r="R47" s="29"/>
      <c r="S47" s="29"/>
      <c r="U47" s="17"/>
      <c r="V47" s="17"/>
      <c r="W47" s="17"/>
      <c r="X47" s="38"/>
      <c r="Y47" s="38"/>
      <c r="Z47" s="38"/>
    </row>
    <row r="48" spans="1:26" x14ac:dyDescent="0.35">
      <c r="A48" s="36"/>
      <c r="B48" s="40">
        <v>335.92928497109557</v>
      </c>
      <c r="C48" s="40">
        <v>145.03181009157851</v>
      </c>
      <c r="D48" s="40">
        <v>87.309720822954858</v>
      </c>
      <c r="E48" s="41">
        <v>0.15072390054442511</v>
      </c>
      <c r="N48" s="29"/>
      <c r="O48" s="29"/>
      <c r="P48" s="29"/>
      <c r="Q48" s="29"/>
      <c r="R48" s="29"/>
      <c r="S48" s="29"/>
      <c r="U48" s="17"/>
      <c r="V48" s="17"/>
      <c r="W48" s="17"/>
      <c r="X48" s="38"/>
      <c r="Y48" s="38"/>
      <c r="Z48" s="38"/>
    </row>
    <row r="49" spans="1:26" x14ac:dyDescent="0.35">
      <c r="A49" s="36"/>
      <c r="B49" s="40">
        <v>340.67504695041549</v>
      </c>
      <c r="C49" s="40">
        <v>149.21389878291146</v>
      </c>
      <c r="D49" s="40">
        <v>97.793508555491385</v>
      </c>
      <c r="E49" s="41">
        <v>0.15391453423335416</v>
      </c>
      <c r="N49" s="29"/>
      <c r="O49" s="29"/>
      <c r="P49" s="29"/>
      <c r="Q49" s="29"/>
      <c r="R49" s="29"/>
      <c r="S49" s="29"/>
      <c r="U49" s="17"/>
      <c r="V49" s="17"/>
      <c r="W49" s="17"/>
      <c r="X49" s="38"/>
      <c r="Y49" s="38"/>
      <c r="Z49" s="38"/>
    </row>
    <row r="50" spans="1:26" x14ac:dyDescent="0.35">
      <c r="A50" s="37">
        <v>2021</v>
      </c>
      <c r="B50" s="40">
        <v>332.83211733084715</v>
      </c>
      <c r="C50" s="40">
        <v>154.26459601051363</v>
      </c>
      <c r="D50" s="40">
        <v>100.21672299475787</v>
      </c>
      <c r="E50" s="39">
        <v>0.1477003341135131</v>
      </c>
      <c r="N50" s="29"/>
      <c r="O50" s="29"/>
      <c r="P50" s="29"/>
      <c r="Q50" s="29"/>
      <c r="R50" s="29"/>
      <c r="S50" s="29"/>
      <c r="U50" s="17"/>
      <c r="V50" s="17"/>
      <c r="W50" s="17"/>
      <c r="X50" s="38"/>
      <c r="Y50" s="38"/>
      <c r="Z50" s="38"/>
    </row>
    <row r="51" spans="1:26" x14ac:dyDescent="0.35">
      <c r="A51" s="36"/>
    </row>
    <row r="56" spans="1:26" x14ac:dyDescent="0.35">
      <c r="A56" t="s">
        <v>93</v>
      </c>
    </row>
    <row r="57" spans="1:26" x14ac:dyDescent="0.35">
      <c r="A57" s="36"/>
    </row>
    <row r="58" spans="1:26" x14ac:dyDescent="0.35">
      <c r="A58" s="36"/>
    </row>
    <row r="59" spans="1:26" x14ac:dyDescent="0.35">
      <c r="A59" s="36"/>
    </row>
  </sheetData>
  <mergeCells count="2">
    <mergeCell ref="B4:D4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zoomScale="71" zoomScaleNormal="71" workbookViewId="0">
      <selection activeCell="A11" sqref="A11"/>
    </sheetView>
  </sheetViews>
  <sheetFormatPr defaultRowHeight="12.5" x14ac:dyDescent="0.25"/>
  <cols>
    <col min="1" max="6" width="8.7265625" style="164"/>
    <col min="7" max="17" width="23" style="164" customWidth="1"/>
    <col min="18" max="16384" width="8.7265625" style="164"/>
  </cols>
  <sheetData>
    <row r="1" spans="1:17" ht="26" x14ac:dyDescent="0.6">
      <c r="A1" s="163" t="s">
        <v>272</v>
      </c>
      <c r="B1" s="62"/>
      <c r="C1" s="62"/>
      <c r="D1" s="62"/>
      <c r="E1" s="62"/>
      <c r="F1" s="62"/>
    </row>
    <row r="2" spans="1:17" ht="14.5" x14ac:dyDescent="0.35">
      <c r="A2" s="64" t="s">
        <v>262</v>
      </c>
      <c r="B2" s="62"/>
      <c r="C2" s="62"/>
      <c r="D2" s="62"/>
      <c r="E2" s="62"/>
      <c r="F2" s="62"/>
    </row>
    <row r="3" spans="1:17" ht="14.5" x14ac:dyDescent="0.35">
      <c r="A3" s="165" t="s">
        <v>263</v>
      </c>
      <c r="B3" s="62"/>
      <c r="C3" s="62"/>
      <c r="D3" s="62"/>
      <c r="E3" s="62"/>
      <c r="F3" s="62"/>
    </row>
    <row r="4" spans="1:17" ht="14.5" x14ac:dyDescent="0.35">
      <c r="A4" s="62"/>
      <c r="B4" s="166"/>
      <c r="C4" s="166"/>
      <c r="D4" s="166"/>
      <c r="E4" s="166"/>
      <c r="F4" s="166"/>
      <c r="G4" s="167" t="s">
        <v>264</v>
      </c>
      <c r="H4" s="167"/>
      <c r="I4" s="167"/>
      <c r="J4" s="167"/>
      <c r="K4" s="167"/>
      <c r="L4" s="167"/>
      <c r="M4" s="167" t="s">
        <v>265</v>
      </c>
      <c r="N4" s="167"/>
      <c r="O4" s="167"/>
      <c r="P4" s="167"/>
      <c r="Q4" s="167"/>
    </row>
    <row r="5" spans="1:17" ht="14.5" x14ac:dyDescent="0.35">
      <c r="A5" s="168"/>
      <c r="B5" s="122" t="s">
        <v>266</v>
      </c>
      <c r="C5" s="122" t="s">
        <v>267</v>
      </c>
      <c r="D5" s="122" t="s">
        <v>268</v>
      </c>
      <c r="E5" s="122" t="s">
        <v>269</v>
      </c>
      <c r="F5" s="168"/>
      <c r="G5" s="169" t="s">
        <v>266</v>
      </c>
      <c r="H5" s="169" t="s">
        <v>267</v>
      </c>
      <c r="I5" s="169" t="s">
        <v>268</v>
      </c>
      <c r="J5" s="169" t="s">
        <v>269</v>
      </c>
      <c r="K5" s="169" t="s">
        <v>200</v>
      </c>
      <c r="L5" s="122"/>
      <c r="M5" s="122" t="s">
        <v>266</v>
      </c>
      <c r="N5" s="122" t="s">
        <v>267</v>
      </c>
      <c r="O5" s="122" t="s">
        <v>268</v>
      </c>
      <c r="P5" s="122" t="s">
        <v>269</v>
      </c>
      <c r="Q5" s="122" t="s">
        <v>200</v>
      </c>
    </row>
    <row r="6" spans="1:17" ht="14.5" x14ac:dyDescent="0.35">
      <c r="A6" s="168">
        <v>2011</v>
      </c>
      <c r="B6" s="170">
        <f>G6/M6</f>
        <v>5.6007756603728157E-2</v>
      </c>
      <c r="C6" s="170">
        <f>H6/N6</f>
        <v>0.11854111962433433</v>
      </c>
      <c r="D6" s="170">
        <f>I6/O6</f>
        <v>5.9580491571226357E-2</v>
      </c>
      <c r="E6" s="170">
        <f>J6/P6</f>
        <v>7.5730150552940398E-2</v>
      </c>
      <c r="F6" s="168"/>
      <c r="G6" s="122">
        <v>25590</v>
      </c>
      <c r="H6" s="122">
        <v>41804</v>
      </c>
      <c r="I6" s="122">
        <v>2315</v>
      </c>
      <c r="J6" s="122">
        <v>81292</v>
      </c>
      <c r="K6" s="122">
        <v>151001</v>
      </c>
      <c r="L6" s="122"/>
      <c r="M6" s="169">
        <v>456901</v>
      </c>
      <c r="N6" s="164">
        <v>352654</v>
      </c>
      <c r="O6" s="164">
        <v>38855</v>
      </c>
      <c r="P6" s="169">
        <v>1073443</v>
      </c>
      <c r="Q6" s="169">
        <v>1921853</v>
      </c>
    </row>
    <row r="7" spans="1:17" ht="14.5" x14ac:dyDescent="0.35">
      <c r="A7" s="168">
        <v>2012</v>
      </c>
      <c r="B7" s="170">
        <f t="shared" ref="B7:E15" si="0">G7/M7</f>
        <v>1.0377934868643437E-2</v>
      </c>
      <c r="C7" s="170">
        <f t="shared" si="0"/>
        <v>0.10355413445670113</v>
      </c>
      <c r="D7" s="170">
        <f>I7/O7</f>
        <v>0.16987387112753877</v>
      </c>
      <c r="E7" s="170">
        <f t="shared" si="0"/>
        <v>6.8183949811027128E-2</v>
      </c>
      <c r="F7" s="168"/>
      <c r="G7" s="169">
        <v>4943</v>
      </c>
      <c r="H7" s="169">
        <v>38151</v>
      </c>
      <c r="I7" s="169">
        <v>4458</v>
      </c>
      <c r="J7" s="122">
        <v>78513</v>
      </c>
      <c r="K7" s="169">
        <v>126065</v>
      </c>
      <c r="L7" s="122"/>
      <c r="M7" s="169">
        <v>476299</v>
      </c>
      <c r="N7" s="164">
        <v>368416</v>
      </c>
      <c r="O7" s="164">
        <v>26243</v>
      </c>
      <c r="P7" s="169">
        <v>1151488</v>
      </c>
      <c r="Q7" s="169">
        <v>2022446</v>
      </c>
    </row>
    <row r="8" spans="1:17" ht="14.5" x14ac:dyDescent="0.35">
      <c r="A8" s="168">
        <v>2013</v>
      </c>
      <c r="B8" s="170">
        <f>G8/M8</f>
        <v>-3.001460603823251E-3</v>
      </c>
      <c r="C8" s="170">
        <f t="shared" si="0"/>
        <v>0.10829878704130201</v>
      </c>
      <c r="D8" s="170">
        <f t="shared" si="0"/>
        <v>0.16373267484467102</v>
      </c>
      <c r="E8" s="170">
        <f t="shared" si="0"/>
        <v>8.921878638424062E-2</v>
      </c>
      <c r="F8" s="168"/>
      <c r="G8" s="169">
        <v>-1496</v>
      </c>
      <c r="H8" s="169">
        <v>42321</v>
      </c>
      <c r="I8" s="169">
        <v>4111</v>
      </c>
      <c r="J8" s="122">
        <v>108430</v>
      </c>
      <c r="K8" s="169">
        <v>153366</v>
      </c>
      <c r="L8" s="122"/>
      <c r="M8" s="169">
        <v>498424</v>
      </c>
      <c r="N8" s="164">
        <v>390780</v>
      </c>
      <c r="O8" s="164">
        <v>25108</v>
      </c>
      <c r="P8" s="169">
        <v>1215327</v>
      </c>
      <c r="Q8" s="169">
        <v>2129639</v>
      </c>
    </row>
    <row r="9" spans="1:17" ht="14.5" x14ac:dyDescent="0.35">
      <c r="A9" s="168">
        <v>2014</v>
      </c>
      <c r="B9" s="170">
        <f t="shared" si="0"/>
        <v>6.1248887748584779E-3</v>
      </c>
      <c r="C9" s="170">
        <f>H9/N9</f>
        <v>7.9730528474680068E-2</v>
      </c>
      <c r="D9" s="170">
        <f t="shared" si="0"/>
        <v>5.8162368869825849E-2</v>
      </c>
      <c r="E9" s="170">
        <f>J9/P9</f>
        <v>7.7408108946030701E-2</v>
      </c>
      <c r="F9" s="168"/>
      <c r="G9" s="169">
        <v>3366</v>
      </c>
      <c r="H9" s="169">
        <v>33588</v>
      </c>
      <c r="I9" s="169">
        <v>2251</v>
      </c>
      <c r="J9" s="122">
        <v>107112</v>
      </c>
      <c r="K9" s="169">
        <v>146317</v>
      </c>
      <c r="L9" s="122"/>
      <c r="M9" s="169">
        <v>549561</v>
      </c>
      <c r="N9" s="164">
        <v>421269</v>
      </c>
      <c r="O9" s="164">
        <v>38702</v>
      </c>
      <c r="P9" s="169">
        <v>1383731</v>
      </c>
      <c r="Q9" s="169">
        <v>2393263</v>
      </c>
    </row>
    <row r="10" spans="1:17" ht="14.5" x14ac:dyDescent="0.35">
      <c r="A10" s="168">
        <v>2015</v>
      </c>
      <c r="B10" s="170">
        <f t="shared" si="0"/>
        <v>-2.8037192443958268E-2</v>
      </c>
      <c r="C10" s="170">
        <f t="shared" si="0"/>
        <v>6.7100390099005744E-2</v>
      </c>
      <c r="D10" s="170">
        <f>I10/O10</f>
        <v>9.5179431022289138E-2</v>
      </c>
      <c r="E10" s="170">
        <f t="shared" si="0"/>
        <v>6.0592905362389662E-2</v>
      </c>
      <c r="F10" s="168"/>
      <c r="G10" s="169">
        <v>-13738</v>
      </c>
      <c r="H10" s="169">
        <v>31942</v>
      </c>
      <c r="I10" s="169">
        <v>4172</v>
      </c>
      <c r="J10" s="122">
        <v>99936</v>
      </c>
      <c r="K10" s="169">
        <v>122312</v>
      </c>
      <c r="L10" s="122"/>
      <c r="M10" s="169">
        <v>489992</v>
      </c>
      <c r="N10" s="164">
        <v>476033</v>
      </c>
      <c r="O10" s="164">
        <v>43833</v>
      </c>
      <c r="P10" s="169">
        <v>1649302</v>
      </c>
      <c r="Q10" s="169">
        <v>2659160</v>
      </c>
    </row>
    <row r="11" spans="1:17" ht="14.5" x14ac:dyDescent="0.35">
      <c r="A11" s="168">
        <v>2016</v>
      </c>
      <c r="B11" s="170">
        <f t="shared" si="0"/>
        <v>4.9917071486904031E-2</v>
      </c>
      <c r="C11" s="170">
        <f t="shared" si="0"/>
        <v>7.6481067024958396E-2</v>
      </c>
      <c r="D11" s="170">
        <f t="shared" si="0"/>
        <v>6.428914573148331E-2</v>
      </c>
      <c r="E11" s="170">
        <f t="shared" si="0"/>
        <v>5.252617835174158E-2</v>
      </c>
      <c r="F11" s="168"/>
      <c r="G11" s="169">
        <v>23716</v>
      </c>
      <c r="H11" s="169">
        <v>40529</v>
      </c>
      <c r="I11" s="169">
        <v>2275</v>
      </c>
      <c r="J11" s="122">
        <v>104758</v>
      </c>
      <c r="K11" s="169">
        <v>171278</v>
      </c>
      <c r="L11" s="122"/>
      <c r="M11" s="169">
        <v>475108</v>
      </c>
      <c r="N11" s="164">
        <v>529922</v>
      </c>
      <c r="O11" s="164">
        <v>35387</v>
      </c>
      <c r="P11" s="169">
        <v>1994396</v>
      </c>
      <c r="Q11" s="169">
        <v>3034813</v>
      </c>
    </row>
    <row r="12" spans="1:17" ht="14.5" x14ac:dyDescent="0.35">
      <c r="A12" s="168">
        <v>2017</v>
      </c>
      <c r="B12" s="170">
        <f t="shared" si="0"/>
        <v>2.1041337043301144E-2</v>
      </c>
      <c r="C12" s="170">
        <f t="shared" si="0"/>
        <v>0.11343770189497825</v>
      </c>
      <c r="D12" s="170">
        <f t="shared" si="0"/>
        <v>9.8777390894572867E-2</v>
      </c>
      <c r="E12" s="170">
        <f t="shared" si="0"/>
        <v>7.0669711216578751E-2</v>
      </c>
      <c r="F12" s="168"/>
      <c r="G12" s="169">
        <v>10413</v>
      </c>
      <c r="H12" s="169">
        <v>53026</v>
      </c>
      <c r="I12" s="169">
        <v>3773</v>
      </c>
      <c r="J12" s="122">
        <v>152208</v>
      </c>
      <c r="K12" s="169">
        <v>219420</v>
      </c>
      <c r="L12" s="122"/>
      <c r="M12" s="169">
        <v>494883</v>
      </c>
      <c r="N12" s="171">
        <v>467446</v>
      </c>
      <c r="O12" s="164">
        <v>38197</v>
      </c>
      <c r="P12" s="169">
        <v>2153794</v>
      </c>
      <c r="Q12" s="169">
        <v>3154320</v>
      </c>
    </row>
    <row r="13" spans="1:17" ht="14.5" x14ac:dyDescent="0.35">
      <c r="A13" s="168">
        <v>2018</v>
      </c>
      <c r="B13" s="170">
        <f t="shared" si="0"/>
        <v>1.8639927743162824E-2</v>
      </c>
      <c r="C13" s="170">
        <f t="shared" si="0"/>
        <v>8.3896418388470104E-2</v>
      </c>
      <c r="D13" s="170">
        <f t="shared" si="0"/>
        <v>0.10880755440377721</v>
      </c>
      <c r="E13" s="170">
        <f t="shared" si="0"/>
        <v>4.0006047059496182E-2</v>
      </c>
      <c r="F13" s="172"/>
      <c r="G13" s="169">
        <v>8936</v>
      </c>
      <c r="H13" s="169">
        <v>40812</v>
      </c>
      <c r="I13" s="169">
        <v>3065</v>
      </c>
      <c r="J13" s="122">
        <v>82565</v>
      </c>
      <c r="K13" s="169">
        <v>135378</v>
      </c>
      <c r="M13" s="169">
        <v>479401</v>
      </c>
      <c r="N13" s="164">
        <v>486457</v>
      </c>
      <c r="O13" s="164">
        <v>28169</v>
      </c>
      <c r="P13" s="169">
        <v>2063813</v>
      </c>
      <c r="Q13" s="169">
        <v>3057840</v>
      </c>
    </row>
    <row r="14" spans="1:17" ht="14.5" x14ac:dyDescent="0.35">
      <c r="A14" s="168">
        <v>2019</v>
      </c>
      <c r="B14" s="170">
        <f t="shared" si="0"/>
        <v>3.9346651754996347E-2</v>
      </c>
      <c r="C14" s="170">
        <f t="shared" si="0"/>
        <v>4.7577022959632904E-2</v>
      </c>
      <c r="D14" s="170">
        <f t="shared" si="0"/>
        <v>3.0656638899193955E-2</v>
      </c>
      <c r="E14" s="170">
        <f t="shared" si="0"/>
        <v>3.5747397772905982E-2</v>
      </c>
      <c r="F14" s="172"/>
      <c r="G14" s="169">
        <v>20300</v>
      </c>
      <c r="H14" s="169">
        <v>23505</v>
      </c>
      <c r="I14" s="169">
        <v>909</v>
      </c>
      <c r="J14" s="122">
        <v>76458</v>
      </c>
      <c r="K14" s="169">
        <v>121172</v>
      </c>
      <c r="M14" s="169">
        <v>515927</v>
      </c>
      <c r="N14" s="169">
        <v>494041</v>
      </c>
      <c r="O14" s="169">
        <v>29651</v>
      </c>
      <c r="P14" s="169">
        <v>2138841</v>
      </c>
      <c r="Q14" s="169">
        <v>3178460</v>
      </c>
    </row>
    <row r="15" spans="1:17" ht="14.5" x14ac:dyDescent="0.35">
      <c r="A15" s="168">
        <v>2020</v>
      </c>
      <c r="B15" s="170">
        <f t="shared" si="0"/>
        <v>0.13391165542438485</v>
      </c>
      <c r="C15" s="170">
        <f t="shared" si="0"/>
        <v>0.1082730306664879</v>
      </c>
      <c r="D15" s="170">
        <f t="shared" si="0"/>
        <v>2.9523574426067636E-2</v>
      </c>
      <c r="E15" s="170">
        <f t="shared" si="0"/>
        <v>3.911954817723233E-2</v>
      </c>
      <c r="F15" s="172"/>
      <c r="G15" s="169">
        <v>69126</v>
      </c>
      <c r="H15" s="169">
        <v>59760</v>
      </c>
      <c r="I15" s="169">
        <v>2392</v>
      </c>
      <c r="J15" s="122">
        <v>101536</v>
      </c>
      <c r="K15" s="169">
        <v>232814</v>
      </c>
      <c r="M15" s="169">
        <v>516206</v>
      </c>
      <c r="N15" s="25">
        <v>551938</v>
      </c>
      <c r="O15" s="25">
        <v>81020</v>
      </c>
      <c r="P15" s="169">
        <v>2595531</v>
      </c>
      <c r="Q15" s="25">
        <v>3744695</v>
      </c>
    </row>
    <row r="16" spans="1:17" ht="14.5" x14ac:dyDescent="0.35">
      <c r="A16" s="168"/>
      <c r="B16" s="170"/>
      <c r="C16" s="170"/>
      <c r="D16" s="170"/>
      <c r="E16" s="170"/>
      <c r="F16" s="172"/>
      <c r="G16" s="169"/>
      <c r="H16" s="169"/>
      <c r="I16" s="169"/>
      <c r="J16" s="169"/>
      <c r="K16" s="169"/>
      <c r="M16" s="169"/>
      <c r="P16" s="169"/>
      <c r="Q16" s="169"/>
    </row>
    <row r="17" spans="1:6" ht="14.5" x14ac:dyDescent="0.35">
      <c r="A17" s="96" t="s">
        <v>270</v>
      </c>
      <c r="B17" s="172"/>
      <c r="C17" s="172"/>
      <c r="D17" s="62"/>
      <c r="E17" s="62"/>
      <c r="F17" s="62"/>
    </row>
  </sheetData>
  <conditionalFormatting sqref="A8 F8">
    <cfRule type="cellIs" dxfId="8" priority="1" stopIfTrue="1" operator="lessThan">
      <formula>0</formula>
    </cfRule>
  </conditionalFormatting>
  <conditionalFormatting sqref="F13:F16">
    <cfRule type="cellIs" dxfId="7" priority="3" stopIfTrue="1" operator="lessThan">
      <formula>0</formula>
    </cfRule>
  </conditionalFormatting>
  <conditionalFormatting sqref="A10 F10">
    <cfRule type="cellIs" dxfId="6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zoomScale="71" zoomScaleNormal="71" workbookViewId="0">
      <pane xSplit="1" ySplit="5" topLeftCell="B6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2.5" x14ac:dyDescent="0.25"/>
  <cols>
    <col min="1" max="16384" width="8.7265625" style="164"/>
  </cols>
  <sheetData>
    <row r="1" spans="1:23" ht="26" x14ac:dyDescent="0.6">
      <c r="A1" s="186" t="s">
        <v>273</v>
      </c>
    </row>
    <row r="2" spans="1:23" x14ac:dyDescent="0.25">
      <c r="A2" s="164" t="s">
        <v>274</v>
      </c>
    </row>
    <row r="3" spans="1:23" s="64" customFormat="1" ht="14.5" x14ac:dyDescent="0.35"/>
    <row r="4" spans="1:23" s="64" customFormat="1" ht="14.5" x14ac:dyDescent="0.35">
      <c r="B4" s="64" t="s">
        <v>271</v>
      </c>
      <c r="M4" s="173"/>
      <c r="Q4" s="173"/>
      <c r="R4" s="173"/>
      <c r="V4" s="174"/>
      <c r="W4" s="175"/>
    </row>
    <row r="5" spans="1:23" s="65" customFormat="1" ht="14.5" x14ac:dyDescent="0.35">
      <c r="B5" s="173" t="s">
        <v>12</v>
      </c>
      <c r="C5" s="173" t="s">
        <v>130</v>
      </c>
      <c r="D5" s="173" t="s">
        <v>132</v>
      </c>
      <c r="E5" s="173" t="s">
        <v>134</v>
      </c>
      <c r="F5" s="173"/>
      <c r="G5" s="173"/>
      <c r="H5" s="173"/>
      <c r="I5" s="173"/>
      <c r="J5" s="173"/>
      <c r="K5" s="173"/>
      <c r="L5" s="173"/>
      <c r="N5" s="173"/>
      <c r="O5" s="173"/>
      <c r="P5" s="173"/>
      <c r="Q5" s="176"/>
      <c r="R5" s="173"/>
      <c r="S5" s="173"/>
      <c r="T5" s="173"/>
      <c r="U5" s="173"/>
      <c r="V5" s="177"/>
      <c r="W5" s="175"/>
    </row>
    <row r="6" spans="1:23" s="64" customFormat="1" ht="14.5" x14ac:dyDescent="0.35">
      <c r="A6" s="96">
        <v>2010</v>
      </c>
      <c r="B6" s="178">
        <v>15.992613366209872</v>
      </c>
      <c r="C6" s="178">
        <v>45.478574638691903</v>
      </c>
      <c r="D6" s="178">
        <v>3.7279171165356972</v>
      </c>
      <c r="E6" s="178">
        <v>90.935328961078113</v>
      </c>
      <c r="F6" s="178"/>
      <c r="G6" s="179"/>
      <c r="H6" s="179"/>
      <c r="I6" s="179"/>
      <c r="J6" s="179"/>
      <c r="K6" s="179"/>
      <c r="L6" s="179"/>
      <c r="M6" s="178"/>
      <c r="N6" s="178"/>
      <c r="O6" s="178"/>
      <c r="P6" s="178"/>
      <c r="Q6" s="180"/>
      <c r="R6" s="181"/>
      <c r="S6" s="182"/>
      <c r="T6" s="178"/>
      <c r="U6" s="178"/>
      <c r="V6" s="180"/>
      <c r="W6" s="183"/>
    </row>
    <row r="7" spans="1:23" s="64" customFormat="1" ht="14.5" x14ac:dyDescent="0.35">
      <c r="A7" s="96"/>
      <c r="B7" s="178">
        <v>31.207789837546276</v>
      </c>
      <c r="C7" s="178">
        <v>47.349520780635977</v>
      </c>
      <c r="D7" s="178">
        <v>7.4100004957617465</v>
      </c>
      <c r="E7" s="178">
        <v>92.471220007688672</v>
      </c>
      <c r="F7" s="178"/>
      <c r="G7" s="179"/>
      <c r="H7" s="179"/>
      <c r="I7" s="179"/>
      <c r="J7" s="179"/>
      <c r="K7" s="179"/>
      <c r="L7" s="179"/>
      <c r="M7" s="178"/>
      <c r="N7" s="178"/>
      <c r="O7" s="178"/>
      <c r="P7" s="178"/>
      <c r="Q7" s="180"/>
      <c r="R7" s="181"/>
      <c r="S7" s="182"/>
      <c r="T7" s="178"/>
      <c r="U7" s="178"/>
      <c r="V7" s="180"/>
      <c r="W7" s="183"/>
    </row>
    <row r="8" spans="1:23" s="64" customFormat="1" ht="14.5" x14ac:dyDescent="0.35">
      <c r="A8" s="96"/>
      <c r="B8" s="178">
        <v>28.205417217994352</v>
      </c>
      <c r="C8" s="178">
        <v>46.409802392372882</v>
      </c>
      <c r="D8" s="178">
        <v>5.4903422943926552</v>
      </c>
      <c r="E8" s="178">
        <v>103.20820980498587</v>
      </c>
      <c r="F8" s="178"/>
      <c r="G8" s="179"/>
      <c r="H8" s="179"/>
      <c r="I8" s="179"/>
      <c r="J8" s="179"/>
      <c r="K8" s="179"/>
      <c r="L8" s="179"/>
      <c r="M8" s="178"/>
      <c r="N8" s="178"/>
      <c r="O8" s="178"/>
      <c r="P8" s="178"/>
      <c r="Q8" s="180"/>
      <c r="R8" s="181"/>
      <c r="S8" s="182"/>
      <c r="V8" s="180"/>
      <c r="W8" s="183"/>
    </row>
    <row r="9" spans="1:23" s="64" customFormat="1" ht="14.5" x14ac:dyDescent="0.35">
      <c r="A9" s="96"/>
      <c r="B9" s="178">
        <v>46.233687895696193</v>
      </c>
      <c r="C9" s="178">
        <v>60.715382264275661</v>
      </c>
      <c r="D9" s="178">
        <v>5.9220900309704643</v>
      </c>
      <c r="E9" s="178">
        <v>99.112072481715899</v>
      </c>
      <c r="F9" s="178"/>
      <c r="G9" s="179"/>
      <c r="H9" s="179"/>
      <c r="I9" s="179"/>
      <c r="J9" s="179"/>
      <c r="K9" s="179"/>
      <c r="L9" s="179"/>
      <c r="M9" s="178"/>
      <c r="N9" s="178"/>
      <c r="O9" s="178"/>
      <c r="P9" s="178"/>
      <c r="Q9" s="180"/>
      <c r="R9" s="181"/>
      <c r="S9" s="182"/>
      <c r="V9" s="180"/>
      <c r="W9" s="183"/>
    </row>
    <row r="10" spans="1:23" s="64" customFormat="1" ht="14.5" x14ac:dyDescent="0.35">
      <c r="A10" s="96">
        <v>2011</v>
      </c>
      <c r="B10" s="178">
        <v>32.259960369228629</v>
      </c>
      <c r="C10" s="178">
        <v>48.983751640988444</v>
      </c>
      <c r="D10" s="178">
        <v>1.996629105006928</v>
      </c>
      <c r="E10" s="178">
        <v>110.45533426450807</v>
      </c>
      <c r="F10" s="178"/>
      <c r="G10" s="184"/>
      <c r="H10" s="184"/>
      <c r="I10" s="179"/>
      <c r="J10" s="179"/>
      <c r="K10" s="184"/>
      <c r="L10" s="184"/>
      <c r="M10" s="178"/>
      <c r="N10" s="178"/>
      <c r="O10" s="178"/>
      <c r="P10" s="178"/>
      <c r="Q10" s="180"/>
      <c r="R10" s="181"/>
      <c r="S10" s="182"/>
      <c r="V10" s="180"/>
      <c r="W10" s="183"/>
    </row>
    <row r="11" spans="1:23" s="64" customFormat="1" ht="14.5" x14ac:dyDescent="0.35">
      <c r="A11" s="96"/>
      <c r="B11" s="178">
        <v>34.933091709700683</v>
      </c>
      <c r="C11" s="178">
        <v>48.829119413768716</v>
      </c>
      <c r="D11" s="178">
        <v>1.3265328836054422</v>
      </c>
      <c r="E11" s="178">
        <v>96.358713200244907</v>
      </c>
      <c r="F11" s="178"/>
      <c r="G11" s="179"/>
      <c r="H11" s="179"/>
      <c r="I11" s="179"/>
      <c r="J11" s="179"/>
      <c r="K11" s="179"/>
      <c r="L11" s="179"/>
      <c r="M11" s="178"/>
      <c r="N11" s="178"/>
      <c r="O11" s="178"/>
      <c r="P11" s="178"/>
      <c r="Q11" s="180"/>
      <c r="R11" s="181"/>
      <c r="S11" s="182"/>
      <c r="V11" s="180"/>
      <c r="W11" s="183"/>
    </row>
    <row r="12" spans="1:23" s="64" customFormat="1" ht="14.5" x14ac:dyDescent="0.35">
      <c r="A12" s="96"/>
      <c r="B12" s="178">
        <v>38.41253070367128</v>
      </c>
      <c r="C12" s="178">
        <v>54.398977377266633</v>
      </c>
      <c r="D12" s="178">
        <v>5.9906150238008031</v>
      </c>
      <c r="E12" s="178">
        <v>144.3896239048191</v>
      </c>
      <c r="F12" s="178"/>
      <c r="G12" s="184"/>
      <c r="H12" s="184"/>
      <c r="I12" s="184"/>
      <c r="J12" s="179"/>
      <c r="K12" s="184"/>
      <c r="L12" s="184"/>
      <c r="M12" s="178"/>
      <c r="N12" s="178"/>
      <c r="O12" s="178"/>
      <c r="P12" s="178"/>
      <c r="Q12" s="180"/>
      <c r="R12" s="181"/>
      <c r="S12" s="182"/>
      <c r="V12" s="180"/>
      <c r="W12" s="183"/>
    </row>
    <row r="13" spans="1:23" s="64" customFormat="1" ht="14.5" x14ac:dyDescent="0.35">
      <c r="A13" s="96"/>
      <c r="B13" s="178">
        <v>39.559474958473075</v>
      </c>
      <c r="C13" s="178">
        <v>64.624630369832289</v>
      </c>
      <c r="D13" s="178">
        <v>3.5787489069505733</v>
      </c>
      <c r="E13" s="178">
        <v>125.66896593685789</v>
      </c>
      <c r="F13" s="178"/>
      <c r="G13" s="184"/>
      <c r="H13" s="184"/>
      <c r="I13" s="184"/>
      <c r="J13" s="179"/>
      <c r="K13" s="184"/>
      <c r="L13" s="184"/>
      <c r="M13" s="178"/>
      <c r="N13" s="178"/>
      <c r="O13" s="178"/>
      <c r="P13" s="178"/>
      <c r="Q13" s="180"/>
      <c r="R13" s="181"/>
      <c r="S13" s="182"/>
      <c r="V13" s="180"/>
      <c r="W13" s="183"/>
    </row>
    <row r="14" spans="1:23" s="64" customFormat="1" ht="14.5" x14ac:dyDescent="0.35">
      <c r="A14" s="96">
        <v>2012</v>
      </c>
      <c r="B14" s="178">
        <v>32.290376777694654</v>
      </c>
      <c r="C14" s="178">
        <v>59.840504303057855</v>
      </c>
      <c r="D14" s="178">
        <v>1.8330182740452372</v>
      </c>
      <c r="E14" s="178">
        <v>106.59999290979123</v>
      </c>
      <c r="F14" s="178"/>
      <c r="G14" s="184"/>
      <c r="H14" s="184"/>
      <c r="I14" s="179"/>
      <c r="J14" s="179"/>
      <c r="K14" s="184"/>
      <c r="L14" s="184"/>
      <c r="M14" s="178"/>
      <c r="N14" s="178"/>
      <c r="O14" s="178"/>
      <c r="P14" s="178"/>
      <c r="Q14" s="180"/>
      <c r="R14" s="181"/>
      <c r="S14" s="182"/>
      <c r="V14" s="180"/>
      <c r="W14" s="183"/>
    </row>
    <row r="15" spans="1:23" s="64" customFormat="1" ht="14.5" x14ac:dyDescent="0.35">
      <c r="A15" s="96"/>
      <c r="B15" s="178">
        <v>38.220821874318766</v>
      </c>
      <c r="C15" s="178">
        <v>55.675787648226219</v>
      </c>
      <c r="D15" s="178">
        <v>4.5761126951542419</v>
      </c>
      <c r="E15" s="178">
        <v>115.94269656062981</v>
      </c>
      <c r="F15" s="178"/>
      <c r="G15" s="179"/>
      <c r="H15" s="179"/>
      <c r="I15" s="179"/>
      <c r="J15" s="179"/>
      <c r="K15" s="179"/>
      <c r="L15" s="179"/>
      <c r="M15" s="178"/>
      <c r="N15" s="178"/>
      <c r="O15" s="178"/>
      <c r="P15" s="178"/>
      <c r="Q15" s="180"/>
      <c r="R15" s="181"/>
      <c r="S15" s="182"/>
      <c r="V15" s="180"/>
      <c r="W15" s="183"/>
    </row>
    <row r="16" spans="1:23" s="64" customFormat="1" ht="14.5" x14ac:dyDescent="0.35">
      <c r="A16" s="96"/>
      <c r="B16" s="178">
        <v>17.345428074993631</v>
      </c>
      <c r="C16" s="178">
        <v>57.182942413770704</v>
      </c>
      <c r="D16" s="178">
        <v>7.0461618035541393</v>
      </c>
      <c r="E16" s="178">
        <v>143.06222291370699</v>
      </c>
      <c r="F16" s="178"/>
      <c r="G16" s="179"/>
      <c r="H16" s="179"/>
      <c r="I16" s="179"/>
      <c r="J16" s="179"/>
      <c r="K16" s="179"/>
      <c r="L16" s="179"/>
      <c r="M16" s="178"/>
      <c r="N16" s="178"/>
      <c r="O16" s="178"/>
      <c r="P16" s="178"/>
      <c r="Q16" s="180"/>
      <c r="R16" s="181"/>
      <c r="S16" s="182"/>
      <c r="V16" s="180"/>
      <c r="W16" s="183"/>
    </row>
    <row r="17" spans="1:23" s="64" customFormat="1" ht="14.5" x14ac:dyDescent="0.35">
      <c r="A17" s="96"/>
      <c r="B17" s="178">
        <v>7.2297824841043843</v>
      </c>
      <c r="C17" s="178">
        <v>55.800815608146145</v>
      </c>
      <c r="D17" s="178">
        <v>6.5204066991983298</v>
      </c>
      <c r="E17" s="178">
        <v>114.83550721717327</v>
      </c>
      <c r="F17" s="178"/>
      <c r="G17" s="179"/>
      <c r="H17" s="179"/>
      <c r="I17" s="179"/>
      <c r="J17" s="179"/>
      <c r="K17" s="179"/>
      <c r="L17" s="179"/>
      <c r="M17" s="178"/>
      <c r="N17" s="178"/>
      <c r="O17" s="178"/>
      <c r="P17" s="178"/>
      <c r="Q17" s="180"/>
      <c r="R17" s="181"/>
      <c r="S17" s="182"/>
      <c r="V17" s="180"/>
      <c r="W17" s="183"/>
    </row>
    <row r="18" spans="1:23" s="64" customFormat="1" ht="14.5" x14ac:dyDescent="0.35">
      <c r="A18" s="96">
        <v>2013</v>
      </c>
      <c r="B18" s="178">
        <v>22.266294761467321</v>
      </c>
      <c r="C18" s="178">
        <v>55.322347876794069</v>
      </c>
      <c r="D18" s="178">
        <v>0.88978791869297147</v>
      </c>
      <c r="E18" s="178">
        <v>62.934497919075206</v>
      </c>
      <c r="F18" s="178"/>
      <c r="G18" s="179"/>
      <c r="H18" s="179"/>
      <c r="I18" s="179"/>
      <c r="J18" s="179"/>
      <c r="K18" s="179"/>
      <c r="L18" s="179"/>
      <c r="M18" s="178"/>
      <c r="N18" s="178"/>
      <c r="O18" s="178"/>
      <c r="P18" s="178"/>
      <c r="Q18" s="180"/>
      <c r="R18" s="181"/>
      <c r="S18" s="182"/>
      <c r="V18" s="180"/>
      <c r="W18" s="183"/>
    </row>
    <row r="19" spans="1:23" s="64" customFormat="1" ht="14.5" x14ac:dyDescent="0.35">
      <c r="A19" s="96"/>
      <c r="B19" s="178">
        <v>10.085513619054765</v>
      </c>
      <c r="C19" s="178">
        <v>48.320083707918855</v>
      </c>
      <c r="D19" s="178">
        <v>7.762022740210953</v>
      </c>
      <c r="E19" s="178">
        <v>118.59182711339147</v>
      </c>
      <c r="F19" s="178"/>
      <c r="G19" s="179"/>
      <c r="H19" s="179"/>
      <c r="I19" s="179"/>
      <c r="J19" s="179"/>
      <c r="K19" s="179"/>
      <c r="L19" s="179"/>
      <c r="M19" s="178"/>
      <c r="N19" s="178"/>
      <c r="O19" s="178"/>
      <c r="P19" s="178"/>
      <c r="Q19" s="180"/>
      <c r="R19" s="181"/>
      <c r="S19" s="182"/>
      <c r="V19" s="180"/>
      <c r="W19" s="183"/>
    </row>
    <row r="20" spans="1:23" s="64" customFormat="1" ht="14.5" x14ac:dyDescent="0.35">
      <c r="A20" s="96"/>
      <c r="B20" s="178">
        <v>0.13715301677187372</v>
      </c>
      <c r="C20" s="178">
        <v>69.473601077271255</v>
      </c>
      <c r="D20" s="178">
        <v>8.1228174422852568</v>
      </c>
      <c r="E20" s="178">
        <v>149.87325931717538</v>
      </c>
      <c r="F20" s="178"/>
      <c r="G20" s="184"/>
      <c r="H20" s="184"/>
      <c r="I20" s="184"/>
      <c r="J20" s="179"/>
      <c r="K20" s="179"/>
      <c r="L20" s="184"/>
      <c r="M20" s="178"/>
      <c r="N20" s="178"/>
      <c r="O20" s="178"/>
      <c r="P20" s="178"/>
      <c r="Q20" s="180"/>
      <c r="R20" s="181"/>
      <c r="S20" s="182"/>
      <c r="V20" s="180"/>
      <c r="W20" s="183"/>
    </row>
    <row r="21" spans="1:23" s="64" customFormat="1" ht="14.5" x14ac:dyDescent="0.35">
      <c r="A21" s="96"/>
      <c r="B21" s="178">
        <v>-2.0762630804120445</v>
      </c>
      <c r="C21" s="178">
        <v>58.7363167286886</v>
      </c>
      <c r="D21" s="178">
        <v>5.7055598419611737</v>
      </c>
      <c r="E21" s="178">
        <v>150.48743703815376</v>
      </c>
      <c r="F21" s="178"/>
      <c r="G21" s="184"/>
      <c r="H21" s="184"/>
      <c r="I21" s="184"/>
      <c r="J21" s="179"/>
      <c r="K21" s="179"/>
      <c r="L21" s="184"/>
      <c r="M21" s="178"/>
      <c r="N21" s="178"/>
      <c r="O21" s="178"/>
      <c r="P21" s="178"/>
      <c r="Q21" s="180"/>
      <c r="R21" s="181"/>
      <c r="S21" s="182"/>
      <c r="V21" s="180"/>
      <c r="W21" s="183"/>
    </row>
    <row r="22" spans="1:23" s="64" customFormat="1" ht="14.5" x14ac:dyDescent="0.35">
      <c r="A22" s="96">
        <v>2014</v>
      </c>
      <c r="B22" s="178">
        <v>26.586627793288041</v>
      </c>
      <c r="C22" s="178">
        <v>55.728433000702637</v>
      </c>
      <c r="D22" s="178">
        <v>2.8013121197981365</v>
      </c>
      <c r="E22" s="178">
        <v>88.476587597294241</v>
      </c>
      <c r="F22" s="178"/>
      <c r="G22" s="179"/>
      <c r="H22" s="179"/>
      <c r="I22" s="179"/>
      <c r="J22" s="179"/>
      <c r="K22" s="179"/>
      <c r="L22" s="179"/>
      <c r="M22" s="178"/>
      <c r="N22" s="178"/>
      <c r="O22" s="178"/>
      <c r="P22" s="178"/>
      <c r="Q22" s="180"/>
      <c r="R22" s="181"/>
      <c r="S22" s="182"/>
      <c r="V22" s="180"/>
      <c r="W22" s="183"/>
    </row>
    <row r="23" spans="1:23" s="64" customFormat="1" ht="14.5" x14ac:dyDescent="0.35">
      <c r="A23" s="96"/>
      <c r="B23" s="178">
        <v>12.605734815285389</v>
      </c>
      <c r="C23" s="178">
        <v>41.089603618059364</v>
      </c>
      <c r="D23" s="178">
        <v>3.0671244379794524</v>
      </c>
      <c r="E23" s="178">
        <v>122.77828421655254</v>
      </c>
      <c r="F23" s="178"/>
      <c r="G23" s="179"/>
      <c r="H23" s="184"/>
      <c r="I23" s="184"/>
      <c r="J23" s="179"/>
      <c r="K23" s="179"/>
      <c r="L23" s="179"/>
      <c r="M23" s="178"/>
      <c r="N23" s="178"/>
      <c r="O23" s="178"/>
      <c r="P23" s="178"/>
      <c r="Q23" s="180"/>
      <c r="R23" s="181"/>
      <c r="S23" s="182"/>
      <c r="V23" s="180"/>
      <c r="W23" s="183"/>
    </row>
    <row r="24" spans="1:23" s="64" customFormat="1" ht="14.5" x14ac:dyDescent="0.35">
      <c r="A24" s="96"/>
      <c r="B24" s="178">
        <v>15.826664583121714</v>
      </c>
      <c r="C24" s="178">
        <v>53.480624870927876</v>
      </c>
      <c r="D24" s="178">
        <v>2.698968076825695</v>
      </c>
      <c r="E24" s="178">
        <v>165.37528822566495</v>
      </c>
      <c r="F24" s="178"/>
      <c r="G24" s="179"/>
      <c r="H24" s="179"/>
      <c r="I24" s="179"/>
      <c r="J24" s="179"/>
      <c r="K24" s="179"/>
      <c r="L24" s="179"/>
      <c r="M24" s="178"/>
      <c r="N24" s="178"/>
      <c r="O24" s="178"/>
      <c r="P24" s="178"/>
      <c r="Q24" s="180"/>
      <c r="R24" s="181"/>
      <c r="S24" s="182"/>
      <c r="V24" s="180"/>
      <c r="W24" s="183"/>
    </row>
    <row r="25" spans="1:23" s="64" customFormat="1" ht="14.5" x14ac:dyDescent="0.35">
      <c r="A25" s="96"/>
      <c r="B25" s="178">
        <v>4.4194520366041976</v>
      </c>
      <c r="C25" s="178">
        <v>44.099986632638675</v>
      </c>
      <c r="D25" s="178">
        <v>2.9554921373725631</v>
      </c>
      <c r="E25" s="178">
        <v>140.63468405964016</v>
      </c>
      <c r="F25" s="178"/>
      <c r="G25" s="184"/>
      <c r="H25" s="184"/>
      <c r="I25" s="184"/>
      <c r="J25" s="179"/>
      <c r="K25" s="179"/>
      <c r="L25" s="184"/>
      <c r="M25" s="178"/>
      <c r="N25" s="178"/>
      <c r="O25" s="178"/>
      <c r="P25" s="178"/>
      <c r="Q25" s="180"/>
      <c r="R25" s="181"/>
      <c r="S25" s="182"/>
      <c r="V25" s="180"/>
      <c r="W25" s="183"/>
    </row>
    <row r="26" spans="1:23" s="64" customFormat="1" ht="14.5" x14ac:dyDescent="0.35">
      <c r="A26" s="96">
        <v>2015</v>
      </c>
      <c r="B26" s="178">
        <v>-0.1331244415126677</v>
      </c>
      <c r="C26" s="178">
        <v>45.007807505532796</v>
      </c>
      <c r="D26" s="178">
        <v>6.4865536697839055</v>
      </c>
      <c r="E26" s="178">
        <v>125.55462032861402</v>
      </c>
      <c r="F26" s="178"/>
      <c r="G26" s="179"/>
      <c r="H26" s="179"/>
      <c r="I26" s="179"/>
      <c r="J26" s="179"/>
      <c r="K26" s="179"/>
      <c r="L26" s="179"/>
      <c r="M26" s="178"/>
      <c r="N26" s="178"/>
      <c r="O26" s="178"/>
      <c r="P26" s="178"/>
      <c r="Q26" s="180"/>
      <c r="R26" s="181"/>
      <c r="S26" s="182"/>
      <c r="V26" s="180"/>
      <c r="W26" s="183"/>
    </row>
    <row r="27" spans="1:23" s="64" customFormat="1" ht="14.5" x14ac:dyDescent="0.35">
      <c r="A27" s="96"/>
      <c r="B27" s="178">
        <v>-15.191998222538235</v>
      </c>
      <c r="C27" s="178">
        <v>56.258486322290601</v>
      </c>
      <c r="D27" s="178">
        <v>7.5902585795702837</v>
      </c>
      <c r="E27" s="178">
        <v>101.57424355289146</v>
      </c>
      <c r="F27" s="178"/>
      <c r="G27" s="179"/>
      <c r="H27" s="179"/>
      <c r="I27" s="179"/>
      <c r="J27" s="179"/>
      <c r="K27" s="179"/>
      <c r="L27" s="179"/>
      <c r="M27" s="178"/>
      <c r="N27" s="178"/>
      <c r="O27" s="178"/>
      <c r="P27" s="178"/>
      <c r="Q27" s="180"/>
      <c r="R27" s="181"/>
      <c r="S27" s="182"/>
      <c r="V27" s="180"/>
      <c r="W27" s="183"/>
    </row>
    <row r="28" spans="1:23" s="64" customFormat="1" ht="14.5" x14ac:dyDescent="0.35">
      <c r="A28" s="96"/>
      <c r="B28" s="178">
        <v>-7.9437416683830406</v>
      </c>
      <c r="C28" s="178">
        <v>54.45698614180381</v>
      </c>
      <c r="D28" s="178">
        <v>8.1363248525476113</v>
      </c>
      <c r="E28" s="178">
        <v>129.93071362998563</v>
      </c>
      <c r="F28" s="178"/>
      <c r="G28" s="179"/>
      <c r="H28" s="179"/>
      <c r="I28" s="179"/>
      <c r="J28" s="179"/>
      <c r="K28" s="179"/>
      <c r="L28" s="179"/>
      <c r="M28" s="178"/>
      <c r="N28" s="178"/>
      <c r="O28" s="178"/>
      <c r="P28" s="178"/>
      <c r="Q28" s="180"/>
      <c r="R28" s="181"/>
      <c r="S28" s="182"/>
      <c r="V28" s="180"/>
      <c r="W28" s="183"/>
    </row>
    <row r="29" spans="1:23" s="64" customFormat="1" ht="14.5" x14ac:dyDescent="0.35">
      <c r="A29" s="96"/>
      <c r="B29" s="178">
        <v>-17.211807631394848</v>
      </c>
      <c r="C29" s="178">
        <v>40.018893533412019</v>
      </c>
      <c r="D29" s="178">
        <v>5.2269370678540774</v>
      </c>
      <c r="E29" s="178">
        <v>125.20594027158796</v>
      </c>
      <c r="F29" s="178"/>
      <c r="G29" s="179"/>
      <c r="H29" s="179"/>
      <c r="I29" s="179"/>
      <c r="J29" s="179"/>
      <c r="K29" s="179"/>
      <c r="L29" s="179"/>
      <c r="M29" s="178"/>
      <c r="N29" s="178"/>
      <c r="O29" s="178"/>
      <c r="P29" s="178"/>
      <c r="Q29" s="180"/>
      <c r="R29" s="181"/>
      <c r="S29" s="182"/>
      <c r="V29" s="180"/>
      <c r="W29" s="183"/>
    </row>
    <row r="30" spans="1:23" s="64" customFormat="1" ht="14.5" x14ac:dyDescent="0.35">
      <c r="A30" s="96">
        <v>2016</v>
      </c>
      <c r="B30" s="178">
        <v>-1.5114342700489511</v>
      </c>
      <c r="C30" s="178">
        <v>45.120109919013984</v>
      </c>
      <c r="D30" s="178">
        <v>7.3905951259930083</v>
      </c>
      <c r="E30" s="178">
        <v>87.623993257132867</v>
      </c>
      <c r="F30" s="178"/>
      <c r="G30" s="179"/>
      <c r="H30" s="179"/>
      <c r="I30" s="179"/>
      <c r="J30" s="179"/>
      <c r="K30" s="179"/>
      <c r="L30" s="179"/>
      <c r="M30" s="178"/>
      <c r="N30" s="178"/>
      <c r="O30" s="178"/>
      <c r="P30" s="178"/>
      <c r="Q30" s="180"/>
      <c r="R30" s="181"/>
      <c r="S30" s="182"/>
      <c r="V30" s="180"/>
      <c r="W30" s="183"/>
    </row>
    <row r="31" spans="1:23" s="64" customFormat="1" ht="14.5" x14ac:dyDescent="0.35">
      <c r="A31" s="96"/>
      <c r="B31" s="178">
        <v>13.031160037199999</v>
      </c>
      <c r="C31" s="178">
        <v>51.729429891261532</v>
      </c>
      <c r="D31" s="178">
        <v>1.2802417130564101</v>
      </c>
      <c r="E31" s="178">
        <v>112.35468339766153</v>
      </c>
      <c r="F31" s="178"/>
      <c r="G31" s="179"/>
      <c r="H31" s="179"/>
      <c r="I31" s="179"/>
      <c r="J31" s="179"/>
      <c r="K31" s="179"/>
      <c r="L31" s="179"/>
      <c r="M31" s="178"/>
      <c r="N31" s="178"/>
      <c r="O31" s="178"/>
      <c r="P31" s="178"/>
      <c r="Q31" s="180"/>
      <c r="R31" s="181"/>
      <c r="S31" s="182"/>
      <c r="V31" s="180"/>
      <c r="W31" s="183"/>
    </row>
    <row r="32" spans="1:23" s="64" customFormat="1" ht="14.5" x14ac:dyDescent="0.35">
      <c r="A32" s="96"/>
      <c r="B32" s="178">
        <v>16.957785256109421</v>
      </c>
      <c r="C32" s="178">
        <v>102.72390775694022</v>
      </c>
      <c r="D32" s="178">
        <v>2.8641550233738604</v>
      </c>
      <c r="E32" s="178">
        <v>138.24132292081055</v>
      </c>
      <c r="F32" s="178"/>
      <c r="G32" s="179"/>
      <c r="H32" s="179"/>
      <c r="I32" s="179"/>
      <c r="J32" s="179"/>
      <c r="K32" s="179"/>
      <c r="L32" s="179"/>
      <c r="M32" s="178"/>
      <c r="N32" s="178"/>
      <c r="O32" s="178"/>
      <c r="P32" s="178"/>
      <c r="Q32" s="180"/>
      <c r="R32" s="181"/>
      <c r="S32" s="182"/>
      <c r="V32" s="180"/>
      <c r="W32" s="183"/>
    </row>
    <row r="33" spans="1:23" s="64" customFormat="1" ht="14.5" x14ac:dyDescent="0.35">
      <c r="A33" s="96"/>
      <c r="B33" s="178">
        <v>27.794295161311478</v>
      </c>
      <c r="C33" s="178">
        <v>47.498523722077621</v>
      </c>
      <c r="D33" s="178">
        <v>2.6662178062060895</v>
      </c>
      <c r="E33" s="178">
        <v>122.77259118353297</v>
      </c>
      <c r="F33" s="178"/>
      <c r="G33" s="179"/>
      <c r="H33" s="179"/>
      <c r="I33" s="179"/>
      <c r="J33" s="179"/>
      <c r="K33" s="179"/>
      <c r="L33" s="179"/>
      <c r="M33" s="178"/>
      <c r="N33" s="178"/>
      <c r="O33" s="178"/>
      <c r="P33" s="178"/>
      <c r="Q33" s="180"/>
      <c r="R33" s="181"/>
      <c r="S33" s="182"/>
      <c r="V33" s="180"/>
      <c r="W33" s="183"/>
    </row>
    <row r="34" spans="1:23" s="64" customFormat="1" ht="14.5" x14ac:dyDescent="0.35">
      <c r="A34" s="96">
        <v>2017</v>
      </c>
      <c r="B34" s="178">
        <v>16.001059815793102</v>
      </c>
      <c r="C34" s="178">
        <v>34.252322593674876</v>
      </c>
      <c r="D34" s="178">
        <v>1.6588919587586206</v>
      </c>
      <c r="E34" s="178">
        <v>84.223854427625611</v>
      </c>
      <c r="F34" s="178"/>
      <c r="G34" s="179"/>
      <c r="H34" s="179"/>
      <c r="I34" s="179"/>
      <c r="J34" s="179"/>
      <c r="K34" s="179"/>
      <c r="L34" s="179"/>
      <c r="M34" s="178"/>
      <c r="N34" s="178"/>
      <c r="O34" s="178"/>
      <c r="P34" s="178"/>
      <c r="Q34" s="180"/>
      <c r="R34" s="181"/>
      <c r="S34" s="182"/>
      <c r="V34" s="180"/>
      <c r="W34" s="183"/>
    </row>
    <row r="35" spans="1:23" s="64" customFormat="1" ht="14.5" x14ac:dyDescent="0.35">
      <c r="A35" s="96"/>
      <c r="B35" s="178">
        <v>-11.134535746071428</v>
      </c>
      <c r="C35" s="178">
        <v>52.672381968545452</v>
      </c>
      <c r="D35" s="178">
        <v>0.98607175606168829</v>
      </c>
      <c r="E35" s="178">
        <v>262.17452931985713</v>
      </c>
      <c r="G35" s="179"/>
      <c r="H35" s="179"/>
      <c r="I35" s="179"/>
      <c r="J35" s="179"/>
      <c r="K35" s="179"/>
      <c r="L35" s="179"/>
      <c r="M35" s="178"/>
      <c r="N35" s="178"/>
      <c r="O35" s="178"/>
      <c r="P35" s="178"/>
      <c r="Q35" s="73"/>
      <c r="R35" s="181"/>
      <c r="S35" s="182"/>
      <c r="V35" s="73"/>
      <c r="W35" s="183"/>
    </row>
    <row r="36" spans="1:23" s="64" customFormat="1" ht="14.5" x14ac:dyDescent="0.35">
      <c r="A36" s="96"/>
      <c r="B36" s="178">
        <v>13.189026463689977</v>
      </c>
      <c r="C36" s="178">
        <v>63.890520646455045</v>
      </c>
      <c r="D36" s="178">
        <v>2.2803931744118593</v>
      </c>
      <c r="E36" s="178">
        <v>138.33858434592975</v>
      </c>
      <c r="G36" s="179"/>
      <c r="H36" s="179"/>
      <c r="I36" s="179"/>
      <c r="J36" s="179"/>
      <c r="K36" s="179"/>
      <c r="M36" s="178"/>
      <c r="N36" s="178"/>
      <c r="O36" s="178"/>
      <c r="P36" s="178"/>
      <c r="Q36" s="73"/>
      <c r="R36" s="181"/>
      <c r="S36" s="182"/>
      <c r="V36" s="73"/>
      <c r="W36" s="183"/>
    </row>
    <row r="37" spans="1:23" s="64" customFormat="1" ht="14.5" x14ac:dyDescent="0.35">
      <c r="A37" s="96"/>
      <c r="B37" s="178">
        <v>11.653910256910544</v>
      </c>
      <c r="C37" s="178">
        <v>59.345073012862613</v>
      </c>
      <c r="D37" s="178">
        <v>4.2226258906485619</v>
      </c>
      <c r="E37" s="178">
        <v>170.34652572590414</v>
      </c>
      <c r="G37" s="179"/>
      <c r="H37" s="179"/>
      <c r="I37" s="179"/>
      <c r="J37" s="179"/>
      <c r="K37" s="179"/>
      <c r="M37" s="178"/>
      <c r="N37" s="178"/>
      <c r="O37" s="178"/>
      <c r="P37" s="178"/>
      <c r="Q37" s="180"/>
      <c r="R37" s="181"/>
      <c r="S37" s="182"/>
      <c r="V37" s="180"/>
      <c r="W37" s="183"/>
    </row>
    <row r="38" spans="1:23" s="64" customFormat="1" ht="14.5" x14ac:dyDescent="0.35">
      <c r="A38" s="96">
        <v>2018</v>
      </c>
      <c r="B38" s="178">
        <v>19.038860306716089</v>
      </c>
      <c r="C38" s="178">
        <v>34.13712186401262</v>
      </c>
      <c r="D38" s="178">
        <v>7.0977189477066238</v>
      </c>
      <c r="E38" s="178">
        <v>94.33125957528074</v>
      </c>
      <c r="J38" s="179"/>
      <c r="K38" s="179"/>
      <c r="M38" s="178"/>
      <c r="N38" s="178"/>
      <c r="O38" s="178"/>
      <c r="P38" s="178"/>
      <c r="Q38" s="180"/>
      <c r="R38" s="181"/>
      <c r="S38" s="182"/>
      <c r="V38" s="180"/>
      <c r="W38" s="183"/>
    </row>
    <row r="39" spans="1:23" s="64" customFormat="1" ht="14.5" x14ac:dyDescent="0.35">
      <c r="A39" s="96"/>
      <c r="B39" s="178">
        <v>-7.0538968504661286</v>
      </c>
      <c r="C39" s="178">
        <v>31.045854656681172</v>
      </c>
      <c r="D39" s="178">
        <v>2.0573865813859542</v>
      </c>
      <c r="E39" s="178">
        <v>92.015254147075836</v>
      </c>
      <c r="G39" s="179"/>
      <c r="H39" s="179"/>
      <c r="I39" s="179"/>
      <c r="J39" s="179"/>
      <c r="K39" s="179"/>
      <c r="L39" s="179"/>
      <c r="M39" s="178"/>
      <c r="N39" s="178"/>
      <c r="O39" s="178"/>
      <c r="P39" s="178"/>
      <c r="Q39" s="180"/>
      <c r="R39" s="181"/>
      <c r="S39" s="182"/>
      <c r="V39" s="180"/>
      <c r="W39" s="183"/>
    </row>
    <row r="40" spans="1:23" s="64" customFormat="1" ht="14.5" x14ac:dyDescent="0.35">
      <c r="A40" s="96"/>
      <c r="B40" s="178">
        <v>25.869300258011048</v>
      </c>
      <c r="C40" s="178">
        <v>55.768448286887654</v>
      </c>
      <c r="D40" s="178">
        <v>4.3663852181123382</v>
      </c>
      <c r="E40" s="178">
        <v>100.6849078994567</v>
      </c>
      <c r="G40" s="185"/>
      <c r="H40" s="185"/>
      <c r="I40" s="185"/>
      <c r="J40" s="179"/>
      <c r="K40" s="185"/>
      <c r="L40" s="179"/>
      <c r="M40" s="178"/>
      <c r="N40" s="178"/>
      <c r="O40" s="178"/>
      <c r="P40" s="178"/>
      <c r="Q40" s="180"/>
      <c r="R40" s="181"/>
      <c r="S40" s="182"/>
      <c r="V40" s="180"/>
      <c r="W40" s="183"/>
    </row>
    <row r="41" spans="1:23" s="64" customFormat="1" ht="14.5" x14ac:dyDescent="0.35">
      <c r="A41" s="96"/>
      <c r="B41" s="178">
        <v>9.5785826466829853</v>
      </c>
      <c r="C41" s="178">
        <v>43.74676756674419</v>
      </c>
      <c r="D41" s="178">
        <v>3.2854023961597307</v>
      </c>
      <c r="E41" s="178">
        <v>88.502201905033672</v>
      </c>
      <c r="G41" s="185"/>
      <c r="H41" s="185"/>
      <c r="I41" s="185"/>
      <c r="J41" s="179"/>
      <c r="K41" s="185"/>
      <c r="L41" s="179"/>
      <c r="M41" s="178"/>
      <c r="N41" s="178"/>
      <c r="O41" s="178"/>
      <c r="P41" s="178"/>
      <c r="Q41" s="180"/>
      <c r="R41" s="181"/>
      <c r="S41" s="182"/>
      <c r="V41" s="180"/>
      <c r="W41" s="183"/>
    </row>
    <row r="42" spans="1:23" s="64" customFormat="1" ht="14.5" x14ac:dyDescent="0.35">
      <c r="A42" s="96">
        <v>2019</v>
      </c>
      <c r="B42" s="178">
        <v>22.364899851916437</v>
      </c>
      <c r="C42" s="178">
        <v>33.468869002597629</v>
      </c>
      <c r="D42" s="178">
        <v>2.7256161143505899</v>
      </c>
      <c r="E42" s="178">
        <v>88.614340246911894</v>
      </c>
      <c r="G42" s="185"/>
      <c r="H42" s="185"/>
      <c r="I42" s="185"/>
      <c r="J42" s="179"/>
      <c r="K42" s="185"/>
      <c r="L42" s="179"/>
      <c r="M42" s="178"/>
      <c r="N42" s="178"/>
      <c r="O42" s="178"/>
      <c r="P42" s="178"/>
      <c r="Q42" s="180"/>
      <c r="R42" s="181"/>
      <c r="S42" s="182"/>
      <c r="V42" s="180"/>
      <c r="W42" s="183"/>
    </row>
    <row r="43" spans="1:23" s="64" customFormat="1" ht="14.5" x14ac:dyDescent="0.35">
      <c r="A43" s="96"/>
      <c r="B43" s="178">
        <v>22.496951864281463</v>
      </c>
      <c r="C43" s="178">
        <v>33.318626694340963</v>
      </c>
      <c r="D43" s="178">
        <v>2.5232856364802139</v>
      </c>
      <c r="E43" s="178">
        <v>101.45150787664087</v>
      </c>
      <c r="G43" s="185"/>
      <c r="H43" s="185"/>
      <c r="I43" s="185"/>
      <c r="J43" s="179"/>
      <c r="K43" s="185"/>
      <c r="M43" s="178"/>
      <c r="N43" s="178"/>
      <c r="O43" s="178"/>
      <c r="P43" s="178"/>
      <c r="Q43" s="180"/>
      <c r="R43" s="181"/>
      <c r="S43" s="182"/>
      <c r="V43" s="180"/>
      <c r="W43" s="183"/>
    </row>
    <row r="44" spans="1:23" s="64" customFormat="1" ht="14.5" x14ac:dyDescent="0.35">
      <c r="A44" s="96"/>
      <c r="B44" s="178">
        <v>18.533998284562337</v>
      </c>
      <c r="C44" s="178">
        <v>31.98849169167109</v>
      </c>
      <c r="D44" s="178">
        <v>2.6966802316887715</v>
      </c>
      <c r="E44" s="178">
        <v>108.38548395220161</v>
      </c>
      <c r="G44" s="185"/>
      <c r="H44" s="185"/>
      <c r="I44" s="185"/>
      <c r="J44" s="179"/>
      <c r="K44" s="185"/>
      <c r="M44" s="178"/>
      <c r="N44" s="178"/>
      <c r="O44" s="178"/>
      <c r="P44" s="178"/>
      <c r="Q44" s="180"/>
      <c r="R44" s="181"/>
      <c r="S44" s="182"/>
      <c r="V44" s="180"/>
      <c r="W44" s="183"/>
    </row>
    <row r="45" spans="1:23" s="64" customFormat="1" ht="14.5" x14ac:dyDescent="0.35">
      <c r="A45" s="96"/>
      <c r="B45" s="178">
        <v>20.871998885529791</v>
      </c>
      <c r="C45" s="178">
        <v>24.167307083959496</v>
      </c>
      <c r="D45" s="178">
        <v>0.934613152066334</v>
      </c>
      <c r="E45" s="178">
        <v>78.612378856642195</v>
      </c>
      <c r="G45" s="185"/>
      <c r="H45" s="185"/>
      <c r="I45" s="185"/>
      <c r="J45" s="179"/>
      <c r="K45" s="185"/>
      <c r="M45" s="178"/>
      <c r="N45" s="178"/>
      <c r="O45" s="178"/>
      <c r="P45" s="178"/>
      <c r="Q45" s="180"/>
      <c r="R45" s="181"/>
      <c r="S45" s="182"/>
      <c r="V45" s="180"/>
      <c r="W45" s="183"/>
    </row>
    <row r="46" spans="1:23" s="64" customFormat="1" ht="14.5" x14ac:dyDescent="0.35">
      <c r="A46" s="96">
        <v>2020</v>
      </c>
      <c r="B46" s="178">
        <v>35.28391427874746</v>
      </c>
      <c r="C46" s="178">
        <v>13.443232279605683</v>
      </c>
      <c r="D46" s="178">
        <v>0.98214004339518701</v>
      </c>
      <c r="E46" s="178">
        <v>35.762288591507684</v>
      </c>
      <c r="G46" s="185"/>
      <c r="H46" s="185"/>
      <c r="I46" s="185"/>
      <c r="J46" s="179"/>
      <c r="K46" s="185"/>
      <c r="M46" s="178"/>
      <c r="N46" s="178"/>
      <c r="O46" s="178"/>
      <c r="P46" s="178"/>
      <c r="Q46" s="180"/>
      <c r="R46" s="181"/>
      <c r="S46" s="182"/>
      <c r="V46" s="180"/>
      <c r="W46" s="183"/>
    </row>
    <row r="47" spans="1:23" s="64" customFormat="1" ht="14.5" x14ac:dyDescent="0.35">
      <c r="A47" s="96"/>
      <c r="B47" s="178">
        <v>21.233757178570595</v>
      </c>
      <c r="C47" s="178">
        <v>-4.1309346428210336</v>
      </c>
      <c r="D47" s="178">
        <v>1.7545531717722251</v>
      </c>
      <c r="E47" s="178">
        <v>18.172448628285878</v>
      </c>
      <c r="G47" s="185"/>
      <c r="H47" s="185"/>
      <c r="I47" s="185"/>
      <c r="J47" s="179"/>
      <c r="K47" s="185"/>
      <c r="M47" s="178"/>
      <c r="N47" s="178"/>
      <c r="O47" s="178"/>
      <c r="P47" s="178"/>
      <c r="Q47" s="180"/>
      <c r="R47" s="181"/>
      <c r="S47" s="182"/>
      <c r="V47" s="180"/>
      <c r="W47" s="183"/>
    </row>
    <row r="48" spans="1:23" s="64" customFormat="1" ht="14.5" x14ac:dyDescent="0.35">
      <c r="A48" s="96"/>
      <c r="B48" s="178">
        <v>59.020242592727264</v>
      </c>
      <c r="C48" s="178">
        <v>41.533282565677524</v>
      </c>
      <c r="D48" s="178">
        <v>2.0399116696312176</v>
      </c>
      <c r="E48" s="178">
        <v>90.240805289056595</v>
      </c>
      <c r="G48" s="185"/>
      <c r="H48" s="185"/>
      <c r="I48" s="185"/>
      <c r="J48" s="185"/>
      <c r="K48" s="185"/>
      <c r="M48" s="178"/>
      <c r="N48" s="178"/>
      <c r="O48" s="178"/>
      <c r="P48" s="178"/>
      <c r="Q48" s="180"/>
      <c r="R48" s="181"/>
      <c r="S48" s="182"/>
      <c r="V48" s="180"/>
      <c r="W48" s="183"/>
    </row>
    <row r="49" spans="1:23" s="64" customFormat="1" ht="14.5" x14ac:dyDescent="0.35">
      <c r="A49" s="96"/>
      <c r="B49" s="178">
        <v>69.126000000000005</v>
      </c>
      <c r="C49" s="178">
        <v>59.76</v>
      </c>
      <c r="D49" s="178">
        <v>2.3919999999999999</v>
      </c>
      <c r="E49" s="178">
        <v>101.536</v>
      </c>
      <c r="G49" s="185"/>
      <c r="H49" s="185"/>
      <c r="I49" s="185"/>
      <c r="J49" s="185"/>
      <c r="K49" s="185"/>
      <c r="M49" s="178"/>
      <c r="N49" s="178"/>
      <c r="O49" s="178"/>
      <c r="P49" s="178"/>
      <c r="Q49" s="180"/>
      <c r="R49" s="181"/>
      <c r="S49" s="182"/>
      <c r="V49" s="180"/>
      <c r="W49" s="183"/>
    </row>
    <row r="50" spans="1:23" s="64" customFormat="1" ht="14.5" x14ac:dyDescent="0.35">
      <c r="B50" s="178"/>
      <c r="C50" s="178"/>
      <c r="D50" s="178"/>
      <c r="E50" s="178"/>
      <c r="G50" s="185"/>
      <c r="H50" s="185"/>
      <c r="I50" s="185"/>
      <c r="J50" s="185"/>
      <c r="K50" s="185"/>
      <c r="M50" s="178"/>
      <c r="N50" s="178"/>
      <c r="O50" s="178"/>
      <c r="P50" s="178"/>
      <c r="Q50" s="180"/>
      <c r="R50" s="181"/>
      <c r="S50" s="182"/>
      <c r="V50" s="164"/>
    </row>
    <row r="51" spans="1:23" ht="14.5" x14ac:dyDescent="0.35">
      <c r="B51" s="172"/>
      <c r="C51" s="172"/>
      <c r="D51" s="62"/>
      <c r="E51" s="62"/>
      <c r="F51" s="62"/>
      <c r="Q51" s="180"/>
    </row>
  </sheetData>
  <conditionalFormatting sqref="L18">
    <cfRule type="cellIs" dxfId="5" priority="6" stopIfTrue="1" operator="lessThan">
      <formula>0</formula>
    </cfRule>
  </conditionalFormatting>
  <conditionalFormatting sqref="L13">
    <cfRule type="cellIs" dxfId="4" priority="5" stopIfTrue="1" operator="lessThan">
      <formula>0</formula>
    </cfRule>
  </conditionalFormatting>
  <conditionalFormatting sqref="L19">
    <cfRule type="cellIs" dxfId="3" priority="4" stopIfTrue="1" operator="lessThan">
      <formula>0</formula>
    </cfRule>
  </conditionalFormatting>
  <conditionalFormatting sqref="L14">
    <cfRule type="cellIs" dxfId="2" priority="3" stopIfTrue="1" operator="lessThan">
      <formula>0</formula>
    </cfRule>
  </conditionalFormatting>
  <conditionalFormatting sqref="L15">
    <cfRule type="cellIs" dxfId="1" priority="2" stopIfTrue="1" operator="lessThan">
      <formula>0</formula>
    </cfRule>
  </conditionalFormatting>
  <conditionalFormatting sqref="A1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zoomScale="57" zoomScaleNormal="57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1" max="1" width="21" style="49" customWidth="1"/>
    <col min="2" max="17" width="10.36328125" style="49" customWidth="1"/>
    <col min="18" max="19" width="13.08984375" style="49" customWidth="1"/>
    <col min="20" max="23" width="14.26953125" style="49" bestFit="1" customWidth="1"/>
    <col min="24" max="24" width="12.81640625" style="49" customWidth="1"/>
    <col min="25" max="29" width="24.08984375" style="49" customWidth="1"/>
    <col min="30" max="32" width="19.54296875" style="49" customWidth="1"/>
    <col min="33" max="16384" width="8.7265625" style="49"/>
  </cols>
  <sheetData>
    <row r="1" spans="1:32" ht="26" x14ac:dyDescent="0.6">
      <c r="A1" s="14" t="s">
        <v>117</v>
      </c>
    </row>
    <row r="2" spans="1:32" x14ac:dyDescent="0.35">
      <c r="A2" s="49" t="s">
        <v>118</v>
      </c>
    </row>
    <row r="3" spans="1:32" x14ac:dyDescent="0.35">
      <c r="B3" s="50">
        <v>43831</v>
      </c>
      <c r="C3" s="50">
        <v>43862</v>
      </c>
      <c r="D3" s="50">
        <v>43891</v>
      </c>
      <c r="E3" s="50">
        <v>43922</v>
      </c>
      <c r="F3" s="50">
        <v>43952</v>
      </c>
      <c r="G3" s="50">
        <v>43983</v>
      </c>
      <c r="H3" s="50">
        <v>44013</v>
      </c>
      <c r="I3" s="50">
        <v>44044</v>
      </c>
      <c r="J3" s="50">
        <v>44075</v>
      </c>
      <c r="K3" s="50">
        <v>44105</v>
      </c>
      <c r="L3" s="50">
        <v>44136</v>
      </c>
      <c r="M3" s="50">
        <v>44166</v>
      </c>
      <c r="N3" s="50">
        <v>44197</v>
      </c>
      <c r="O3" s="50">
        <v>44228</v>
      </c>
      <c r="P3" s="50">
        <v>44256</v>
      </c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2" x14ac:dyDescent="0.35">
      <c r="A4" s="24" t="s">
        <v>44</v>
      </c>
      <c r="B4" s="26">
        <v>204.84447486503066</v>
      </c>
      <c r="C4" s="26">
        <v>207.28735903211805</v>
      </c>
      <c r="D4" s="26">
        <v>195.17602499221454</v>
      </c>
      <c r="E4" s="26">
        <v>105.96152967652174</v>
      </c>
      <c r="F4" s="26">
        <v>145.31714126771652</v>
      </c>
      <c r="G4" s="26">
        <v>171.5311130156658</v>
      </c>
      <c r="H4" s="26">
        <v>179.99392522079037</v>
      </c>
      <c r="I4" s="26">
        <v>188.93303937371135</v>
      </c>
      <c r="J4" s="26">
        <v>195.55444002058317</v>
      </c>
      <c r="K4" s="26">
        <v>201.47116085702055</v>
      </c>
      <c r="L4" s="26">
        <v>203.15146084713919</v>
      </c>
      <c r="M4" s="26">
        <v>202.20457233248081</v>
      </c>
      <c r="N4" s="26">
        <v>202.80660344689889</v>
      </c>
      <c r="O4" s="26">
        <v>208.46330886666667</v>
      </c>
      <c r="P4" s="26">
        <v>219.223682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 spans="1:32" x14ac:dyDescent="0.35">
      <c r="R5" s="27"/>
      <c r="V5" s="27"/>
      <c r="Z5" s="28"/>
      <c r="AA5" s="28"/>
      <c r="AB5" s="28"/>
      <c r="AC5" s="28"/>
      <c r="AD5" s="27"/>
    </row>
    <row r="6" spans="1:32" x14ac:dyDescent="0.35">
      <c r="A6" s="49" t="s">
        <v>119</v>
      </c>
      <c r="B6" s="57"/>
      <c r="C6" s="57"/>
      <c r="D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0"/>
  <sheetViews>
    <sheetView tabSelected="1" zoomScale="57" zoomScaleNormal="57" workbookViewId="0">
      <pane xSplit="2" ySplit="3" topLeftCell="C4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1" max="1" width="8.7265625" style="49"/>
    <col min="2" max="8" width="21" style="49" customWidth="1"/>
    <col min="9" max="24" width="10.36328125" style="49" customWidth="1"/>
    <col min="25" max="26" width="13.08984375" style="49" customWidth="1"/>
    <col min="27" max="30" width="14.26953125" style="49" bestFit="1" customWidth="1"/>
    <col min="31" max="31" width="12.81640625" style="49" customWidth="1"/>
    <col min="32" max="36" width="24.08984375" style="49" customWidth="1"/>
    <col min="37" max="39" width="19.54296875" style="49" customWidth="1"/>
    <col min="40" max="16384" width="8.7265625" style="49"/>
  </cols>
  <sheetData>
    <row r="3" spans="1:39" x14ac:dyDescent="0.35">
      <c r="C3" s="49" t="s">
        <v>18</v>
      </c>
      <c r="D3" s="49" t="s">
        <v>17</v>
      </c>
      <c r="E3" s="49" t="s">
        <v>16</v>
      </c>
      <c r="F3" s="49" t="s">
        <v>15</v>
      </c>
      <c r="G3" s="49" t="s">
        <v>14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</row>
    <row r="4" spans="1:39" ht="29" x14ac:dyDescent="0.35">
      <c r="A4" s="51">
        <v>2</v>
      </c>
      <c r="B4" s="52" t="s">
        <v>22</v>
      </c>
      <c r="C4" s="52">
        <v>151.25734719326562</v>
      </c>
      <c r="D4" s="52">
        <v>128.46992455170837</v>
      </c>
      <c r="E4" s="52">
        <v>142.96529291994608</v>
      </c>
      <c r="F4" s="52">
        <v>155.12777376645977</v>
      </c>
      <c r="G4" s="52">
        <v>156.97328010130741</v>
      </c>
      <c r="H4" s="52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x14ac:dyDescent="0.35">
      <c r="A5" s="53" t="s">
        <v>23</v>
      </c>
      <c r="B5" s="24" t="s">
        <v>24</v>
      </c>
      <c r="C5" s="52">
        <v>100.37001793460007</v>
      </c>
      <c r="D5" s="52">
        <v>71.981168777439549</v>
      </c>
      <c r="E5" s="52">
        <v>91.66048406012176</v>
      </c>
      <c r="F5" s="52">
        <v>103.99707852533319</v>
      </c>
      <c r="G5" s="52">
        <v>118.51921595045833</v>
      </c>
      <c r="H5" s="24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29" x14ac:dyDescent="0.35">
      <c r="A6" s="53" t="s">
        <v>25</v>
      </c>
      <c r="B6" s="54" t="s">
        <v>26</v>
      </c>
      <c r="C6" s="52">
        <v>86.86582549528039</v>
      </c>
      <c r="D6" s="52">
        <v>75.782425603816421</v>
      </c>
      <c r="E6" s="52">
        <v>84.573703587400061</v>
      </c>
      <c r="F6" s="52">
        <v>88.972365783456837</v>
      </c>
      <c r="G6" s="52">
        <v>89.257714128023395</v>
      </c>
      <c r="H6" s="54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39" ht="29" x14ac:dyDescent="0.35">
      <c r="A7" s="51">
        <v>10</v>
      </c>
      <c r="B7" s="52" t="s">
        <v>27</v>
      </c>
      <c r="C7" s="52">
        <v>83.586026229517103</v>
      </c>
      <c r="D7" s="52">
        <v>35.869473920707307</v>
      </c>
      <c r="E7" s="52">
        <v>66.873795796986172</v>
      </c>
      <c r="F7" s="52">
        <v>85.237680226623951</v>
      </c>
      <c r="G7" s="52">
        <v>89.455671670362676</v>
      </c>
      <c r="H7" s="5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</row>
    <row r="8" spans="1:39" x14ac:dyDescent="0.35">
      <c r="A8" s="53" t="s">
        <v>28</v>
      </c>
      <c r="B8" s="24" t="s">
        <v>29</v>
      </c>
      <c r="C8" s="52">
        <v>28.807693701241533</v>
      </c>
      <c r="D8" s="52">
        <v>24.036367294199309</v>
      </c>
      <c r="E8" s="52">
        <v>28.072011231777068</v>
      </c>
      <c r="F8" s="52">
        <v>28.702228343243874</v>
      </c>
      <c r="G8" s="52">
        <v>29.387335073033423</v>
      </c>
      <c r="H8" s="2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</row>
    <row r="9" spans="1:39" x14ac:dyDescent="0.35">
      <c r="A9" s="53" t="s">
        <v>30</v>
      </c>
      <c r="B9" s="24" t="s">
        <v>31</v>
      </c>
      <c r="C9" s="52">
        <v>32.464008027786925</v>
      </c>
      <c r="D9" s="52">
        <v>22.244228379007861</v>
      </c>
      <c r="E9" s="52">
        <v>29.187685330578809</v>
      </c>
      <c r="F9" s="52">
        <v>32.511715709509431</v>
      </c>
      <c r="G9" s="52">
        <v>32.450118801195202</v>
      </c>
      <c r="H9" s="24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</row>
    <row r="10" spans="1:39" ht="29" x14ac:dyDescent="0.35">
      <c r="A10" s="55" t="s">
        <v>32</v>
      </c>
      <c r="B10" s="54" t="s">
        <v>33</v>
      </c>
      <c r="C10" s="52">
        <v>36.637618742241727</v>
      </c>
      <c r="D10" s="52">
        <v>17.444153278994339</v>
      </c>
      <c r="E10" s="52">
        <v>24.711590278974096</v>
      </c>
      <c r="F10" s="52">
        <v>22.895672086990967</v>
      </c>
      <c r="G10" s="52">
        <v>24.274064049654235</v>
      </c>
      <c r="H10" s="54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39" ht="29" x14ac:dyDescent="0.35">
      <c r="A11" s="56">
        <v>6</v>
      </c>
      <c r="B11" s="52" t="s">
        <v>34</v>
      </c>
      <c r="C11" s="52">
        <v>16.506866206609438</v>
      </c>
      <c r="D11" s="52">
        <v>8.5848191993342624</v>
      </c>
      <c r="E11" s="52">
        <v>15.596552242436275</v>
      </c>
      <c r="F11" s="52">
        <v>18.2596957400884</v>
      </c>
      <c r="G11" s="52">
        <v>18.645527297944785</v>
      </c>
      <c r="H11" s="52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</row>
    <row r="12" spans="1:39" ht="29" x14ac:dyDescent="0.35">
      <c r="A12" s="51">
        <v>3</v>
      </c>
      <c r="B12" s="52" t="s">
        <v>35</v>
      </c>
      <c r="C12" s="52">
        <v>14.660744395226072</v>
      </c>
      <c r="D12" s="52">
        <v>8.3814809782934212</v>
      </c>
      <c r="E12" s="52">
        <v>13.020195189463273</v>
      </c>
      <c r="F12" s="52">
        <v>14.353065020629909</v>
      </c>
      <c r="G12" s="52">
        <v>14.809314976020705</v>
      </c>
      <c r="H12" s="52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</row>
    <row r="13" spans="1:39" ht="29" x14ac:dyDescent="0.35">
      <c r="A13" s="51" t="s">
        <v>36</v>
      </c>
      <c r="B13" s="52" t="s">
        <v>37</v>
      </c>
      <c r="C13" s="52">
        <v>23.387541219478447</v>
      </c>
      <c r="D13" s="52">
        <v>9.5166472972528879</v>
      </c>
      <c r="E13" s="52">
        <v>16.223534996440204</v>
      </c>
      <c r="F13" s="52">
        <v>22.72040091228531</v>
      </c>
      <c r="G13" s="52">
        <v>23.789315699811077</v>
      </c>
      <c r="H13" s="5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</row>
    <row r="14" spans="1:39" ht="29" x14ac:dyDescent="0.35">
      <c r="A14" s="51">
        <v>8</v>
      </c>
      <c r="B14" s="52" t="s">
        <v>38</v>
      </c>
      <c r="C14" s="52">
        <v>13.488751934671198</v>
      </c>
      <c r="D14" s="52">
        <v>9.7747218577265311</v>
      </c>
      <c r="E14" s="52">
        <v>12.706451664863216</v>
      </c>
      <c r="F14" s="52">
        <v>14.91291882952347</v>
      </c>
      <c r="G14" s="52">
        <v>14.481630878217882</v>
      </c>
      <c r="H14" s="5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39" x14ac:dyDescent="0.35">
      <c r="A15" s="53" t="s">
        <v>39</v>
      </c>
      <c r="B15" s="24" t="s">
        <v>40</v>
      </c>
      <c r="C15" s="52">
        <v>12.849150633700015</v>
      </c>
      <c r="D15" s="52">
        <v>6.4688702648911676</v>
      </c>
      <c r="E15" s="52">
        <v>9.0438394089436791</v>
      </c>
      <c r="F15" s="52">
        <v>12.376261985329133</v>
      </c>
      <c r="G15" s="52">
        <v>12.282077190634846</v>
      </c>
      <c r="H15" s="24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x14ac:dyDescent="0.35">
      <c r="A16" s="51">
        <v>9</v>
      </c>
      <c r="B16" s="24" t="s">
        <v>41</v>
      </c>
      <c r="C16" s="52">
        <v>6.4262650981637863</v>
      </c>
      <c r="D16" s="52">
        <v>4.2554984060645502</v>
      </c>
      <c r="E16" s="52">
        <v>5.82293678920038</v>
      </c>
      <c r="F16" s="52">
        <v>6.760334047307806</v>
      </c>
      <c r="G16" s="52">
        <v>6.1683304968098112</v>
      </c>
      <c r="H16" s="24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x14ac:dyDescent="0.35">
      <c r="A17" s="51" t="s">
        <v>42</v>
      </c>
      <c r="B17" s="24" t="s">
        <v>43</v>
      </c>
      <c r="C17" s="52">
        <v>4.2173676775165463</v>
      </c>
      <c r="D17" s="52">
        <v>1.2611410746252851</v>
      </c>
      <c r="E17" s="52">
        <v>2.7321644072030362</v>
      </c>
      <c r="F17" s="52">
        <v>3.8123351779763039</v>
      </c>
      <c r="G17" s="52">
        <v>3.7413755582138668</v>
      </c>
      <c r="H17" s="24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x14ac:dyDescent="0.35">
      <c r="C18" s="52"/>
      <c r="D18" s="52"/>
      <c r="E18" s="52"/>
      <c r="F18" s="52"/>
      <c r="G18" s="52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x14ac:dyDescent="0.35">
      <c r="A19" s="49" t="s">
        <v>119</v>
      </c>
      <c r="C19" s="52"/>
      <c r="D19" s="52"/>
      <c r="E19" s="52"/>
      <c r="F19" s="52"/>
      <c r="G19" s="52"/>
      <c r="Y19" s="27"/>
      <c r="AC19" s="27"/>
      <c r="AG19" s="28"/>
      <c r="AH19" s="28"/>
      <c r="AI19" s="28"/>
      <c r="AJ19" s="28"/>
      <c r="AK19" s="27"/>
    </row>
    <row r="20" spans="1:39" x14ac:dyDescent="0.35">
      <c r="I20" s="57"/>
      <c r="J20" s="57"/>
      <c r="K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zoomScale="65" zoomScaleNormal="65" workbookViewId="0">
      <pane xSplit="2" ySplit="5" topLeftCell="C6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9" max="13" width="21" customWidth="1"/>
    <col min="15" max="15" width="10.1796875" bestFit="1" customWidth="1"/>
  </cols>
  <sheetData>
    <row r="1" spans="1:45" ht="26" x14ac:dyDescent="0.6">
      <c r="A1" s="30" t="s">
        <v>45</v>
      </c>
    </row>
    <row r="2" spans="1:45" x14ac:dyDescent="0.35">
      <c r="A2" t="s">
        <v>46</v>
      </c>
    </row>
    <row r="3" spans="1:45" x14ac:dyDescent="0.35">
      <c r="A3" t="s">
        <v>47</v>
      </c>
    </row>
    <row r="4" spans="1:45" x14ac:dyDescent="0.35">
      <c r="I4" s="22"/>
      <c r="J4" s="22"/>
      <c r="K4" s="22"/>
      <c r="L4" s="22"/>
      <c r="M4" s="22"/>
    </row>
    <row r="5" spans="1:45" x14ac:dyDescent="0.35">
      <c r="C5" t="s">
        <v>18</v>
      </c>
      <c r="D5" t="s">
        <v>17</v>
      </c>
      <c r="E5" t="s">
        <v>16</v>
      </c>
      <c r="F5" t="s">
        <v>15</v>
      </c>
      <c r="G5" t="s">
        <v>14</v>
      </c>
    </row>
    <row r="6" spans="1:45" x14ac:dyDescent="0.35">
      <c r="A6" t="s">
        <v>59</v>
      </c>
      <c r="B6" t="s">
        <v>60</v>
      </c>
      <c r="C6" s="25">
        <v>100</v>
      </c>
      <c r="D6" s="25">
        <v>87.398141913654896</v>
      </c>
      <c r="E6" s="25">
        <v>91.510117741506562</v>
      </c>
      <c r="F6" s="25">
        <v>93.124690732077013</v>
      </c>
      <c r="G6" s="25">
        <v>86.61173095139867</v>
      </c>
      <c r="I6" s="22"/>
      <c r="J6" s="22"/>
      <c r="K6" s="22"/>
      <c r="L6" s="22"/>
      <c r="M6" s="2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</row>
    <row r="7" spans="1:45" x14ac:dyDescent="0.35">
      <c r="B7" t="s">
        <v>61</v>
      </c>
      <c r="C7" s="25">
        <v>100</v>
      </c>
      <c r="D7" s="25">
        <v>91.102514506769836</v>
      </c>
      <c r="E7" s="25">
        <v>92.714377820760816</v>
      </c>
      <c r="F7" s="25">
        <v>91.586073500967132</v>
      </c>
      <c r="G7" s="25">
        <v>89.264990328820119</v>
      </c>
      <c r="I7" s="22"/>
      <c r="J7" s="22"/>
      <c r="K7" s="22"/>
      <c r="L7" s="22"/>
      <c r="M7" s="22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</row>
    <row r="8" spans="1:45" x14ac:dyDescent="0.35">
      <c r="A8" t="s">
        <v>62</v>
      </c>
      <c r="B8" t="s">
        <v>60</v>
      </c>
      <c r="C8" s="25">
        <v>100</v>
      </c>
      <c r="D8" s="25">
        <v>77.274646029314525</v>
      </c>
      <c r="E8" s="25">
        <v>99.908477120010488</v>
      </c>
      <c r="F8" s="25">
        <v>137.06656819435062</v>
      </c>
      <c r="G8" s="25">
        <v>141.80238725848378</v>
      </c>
      <c r="I8" s="22"/>
      <c r="J8" s="22"/>
      <c r="K8" s="22"/>
      <c r="L8" s="22"/>
      <c r="M8" s="2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</row>
    <row r="9" spans="1:45" x14ac:dyDescent="0.35">
      <c r="B9" t="s">
        <v>61</v>
      </c>
      <c r="C9" s="25">
        <v>100</v>
      </c>
      <c r="D9" s="25">
        <v>62.663185378590072</v>
      </c>
      <c r="E9" s="25">
        <v>82.680591818973014</v>
      </c>
      <c r="F9" s="25">
        <v>94.821583986074828</v>
      </c>
      <c r="G9" s="25">
        <v>96.692776327241077</v>
      </c>
      <c r="I9" s="22"/>
      <c r="J9" s="22"/>
      <c r="K9" s="22"/>
      <c r="L9" s="22"/>
      <c r="M9" s="22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</row>
    <row r="10" spans="1:45" x14ac:dyDescent="0.35">
      <c r="A10" t="s">
        <v>63</v>
      </c>
      <c r="B10" t="s">
        <v>60</v>
      </c>
      <c r="C10" s="25">
        <v>100</v>
      </c>
      <c r="D10" s="25">
        <v>82.678919332115129</v>
      </c>
      <c r="E10" s="25">
        <v>102.8593302103107</v>
      </c>
      <c r="F10" s="25">
        <v>118.02534916738863</v>
      </c>
      <c r="G10" s="25">
        <v>145.37530900029688</v>
      </c>
      <c r="I10" s="22"/>
      <c r="J10" s="22"/>
      <c r="K10" s="22"/>
      <c r="L10" s="22"/>
      <c r="M10" s="2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</row>
    <row r="11" spans="1:45" x14ac:dyDescent="0.35">
      <c r="B11" t="s">
        <v>61</v>
      </c>
      <c r="C11" s="25">
        <v>100</v>
      </c>
      <c r="D11" s="25">
        <v>64.934057408844069</v>
      </c>
      <c r="E11" s="25">
        <v>88.130333591931731</v>
      </c>
      <c r="F11" s="25">
        <v>102.05585725368501</v>
      </c>
      <c r="G11" s="25">
        <v>119.39487975174555</v>
      </c>
      <c r="I11" s="22"/>
      <c r="J11" s="22"/>
      <c r="K11" s="22"/>
      <c r="L11" s="22"/>
      <c r="M11" s="22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</row>
    <row r="12" spans="1:45" x14ac:dyDescent="0.35">
      <c r="A12" t="s">
        <v>64</v>
      </c>
      <c r="B12" t="s">
        <v>60</v>
      </c>
      <c r="C12" s="25">
        <v>100</v>
      </c>
      <c r="D12" s="25">
        <v>62.591297151829494</v>
      </c>
      <c r="E12" s="25">
        <v>91.28281430760137</v>
      </c>
      <c r="F12" s="25">
        <v>133.4120845867424</v>
      </c>
      <c r="G12" s="25">
        <v>156.28709334402032</v>
      </c>
      <c r="I12" s="22"/>
      <c r="J12" s="22"/>
      <c r="K12" s="22"/>
      <c r="L12" s="22"/>
      <c r="M12" s="2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</row>
    <row r="13" spans="1:45" x14ac:dyDescent="0.35">
      <c r="B13" t="s">
        <v>61</v>
      </c>
      <c r="C13" s="25">
        <v>100</v>
      </c>
      <c r="D13" s="25">
        <v>60.68866571018652</v>
      </c>
      <c r="E13" s="25">
        <v>89.956958393113354</v>
      </c>
      <c r="F13" s="25">
        <v>89.096126255380199</v>
      </c>
      <c r="G13" s="25">
        <v>108.24964131994261</v>
      </c>
      <c r="I13" s="22"/>
      <c r="J13" s="22"/>
      <c r="K13" s="22"/>
      <c r="L13" s="22"/>
      <c r="M13" s="22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</row>
    <row r="14" spans="1:45" x14ac:dyDescent="0.35">
      <c r="I14" s="22"/>
      <c r="J14" s="22"/>
      <c r="K14" s="22"/>
      <c r="L14" s="22"/>
      <c r="M14" s="22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5" x14ac:dyDescent="0.35">
      <c r="I15" s="22"/>
      <c r="J15" s="22"/>
      <c r="K15" s="22"/>
      <c r="L15" s="22"/>
      <c r="M15" s="22"/>
      <c r="AE15" s="27"/>
      <c r="AI15" s="27"/>
      <c r="AM15" s="28"/>
      <c r="AN15" s="28"/>
      <c r="AO15" s="28"/>
      <c r="AP15" s="28"/>
      <c r="AQ15" s="27"/>
    </row>
    <row r="16" spans="1:45" x14ac:dyDescent="0.35">
      <c r="I16" s="22"/>
      <c r="J16" s="22"/>
      <c r="K16" s="22"/>
      <c r="L16" s="22"/>
      <c r="M16" s="22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9:42" x14ac:dyDescent="0.35">
      <c r="I17" s="22"/>
      <c r="J17" s="22"/>
      <c r="K17" s="22"/>
      <c r="L17" s="22"/>
      <c r="M17" s="22"/>
    </row>
    <row r="18" spans="9:42" x14ac:dyDescent="0.35">
      <c r="I18" s="22"/>
      <c r="J18" s="22"/>
      <c r="K18" s="22"/>
      <c r="L18" s="22"/>
      <c r="M18" s="22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</row>
    <row r="19" spans="9:42" x14ac:dyDescent="0.35">
      <c r="I19" s="22"/>
      <c r="J19" s="22"/>
      <c r="K19" s="22"/>
      <c r="L19" s="22"/>
      <c r="M19" s="22"/>
    </row>
    <row r="20" spans="9:42" x14ac:dyDescent="0.35">
      <c r="I20" s="22"/>
      <c r="J20" s="22"/>
      <c r="K20" s="22"/>
      <c r="L20" s="22"/>
      <c r="M20" s="22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2" spans="9:42" x14ac:dyDescent="0.35"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zoomScale="41" zoomScaleNormal="41" workbookViewId="0">
      <pane xSplit="1" ySplit="4" topLeftCell="B5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1" max="1" width="8.7265625" style="25"/>
    <col min="2" max="3" width="10.08984375" style="25" bestFit="1" customWidth="1"/>
    <col min="4" max="16384" width="8.7265625" style="25"/>
  </cols>
  <sheetData>
    <row r="1" spans="1:3" ht="26" x14ac:dyDescent="0.6">
      <c r="A1" s="30" t="s">
        <v>71</v>
      </c>
    </row>
    <row r="4" spans="1:3" x14ac:dyDescent="0.35">
      <c r="B4" s="25" t="s">
        <v>70</v>
      </c>
      <c r="C4" s="25" t="s">
        <v>69</v>
      </c>
    </row>
    <row r="5" spans="1:3" x14ac:dyDescent="0.35">
      <c r="A5" s="25" t="s">
        <v>68</v>
      </c>
      <c r="B5" s="25">
        <v>32257.666666666668</v>
      </c>
      <c r="C5" s="25">
        <v>44717.666666666664</v>
      </c>
    </row>
    <row r="6" spans="1:3" x14ac:dyDescent="0.35">
      <c r="A6" s="25" t="s">
        <v>67</v>
      </c>
      <c r="B6" s="25">
        <v>22607.333333333332</v>
      </c>
      <c r="C6" s="25">
        <v>31683.833333333332</v>
      </c>
    </row>
    <row r="8" spans="1:3" x14ac:dyDescent="0.35">
      <c r="A8" s="33" t="s">
        <v>66</v>
      </c>
      <c r="B8" s="25">
        <v>16303</v>
      </c>
      <c r="C8" s="25">
        <v>40413</v>
      </c>
    </row>
    <row r="9" spans="1:3" x14ac:dyDescent="0.35">
      <c r="A9" s="25" t="s">
        <v>48</v>
      </c>
      <c r="B9" s="25">
        <v>32143</v>
      </c>
      <c r="C9" s="25">
        <v>43296</v>
      </c>
    </row>
    <row r="10" spans="1:3" x14ac:dyDescent="0.35">
      <c r="A10" s="25" t="s">
        <v>49</v>
      </c>
      <c r="B10" s="25">
        <v>28889</v>
      </c>
      <c r="C10" s="25">
        <v>33546</v>
      </c>
    </row>
    <row r="11" spans="1:3" x14ac:dyDescent="0.35">
      <c r="A11" s="25" t="s">
        <v>50</v>
      </c>
      <c r="B11" s="25">
        <v>901</v>
      </c>
      <c r="C11" s="25">
        <v>574</v>
      </c>
    </row>
    <row r="12" spans="1:3" x14ac:dyDescent="0.35">
      <c r="A12" s="25" t="s">
        <v>51</v>
      </c>
      <c r="B12" s="25">
        <v>11901</v>
      </c>
      <c r="C12" s="25">
        <v>12874</v>
      </c>
    </row>
    <row r="13" spans="1:3" x14ac:dyDescent="0.35">
      <c r="A13" s="25" t="s">
        <v>52</v>
      </c>
      <c r="B13" s="25">
        <v>18808</v>
      </c>
      <c r="C13" s="25">
        <v>31643</v>
      </c>
    </row>
    <row r="14" spans="1:3" x14ac:dyDescent="0.35">
      <c r="A14" s="25" t="s">
        <v>53</v>
      </c>
      <c r="B14" s="25">
        <v>25312</v>
      </c>
      <c r="C14" s="25">
        <v>32405</v>
      </c>
    </row>
    <row r="15" spans="1:3" x14ac:dyDescent="0.35">
      <c r="A15" s="25" t="s">
        <v>54</v>
      </c>
      <c r="B15" s="25">
        <v>23029</v>
      </c>
      <c r="C15" s="25">
        <v>33259</v>
      </c>
    </row>
    <row r="16" spans="1:3" x14ac:dyDescent="0.35">
      <c r="A16" s="25" t="s">
        <v>55</v>
      </c>
      <c r="B16" s="25">
        <v>28390</v>
      </c>
      <c r="C16" s="25">
        <v>37237</v>
      </c>
    </row>
    <row r="17" spans="1:3" x14ac:dyDescent="0.35">
      <c r="A17" s="25" t="s">
        <v>56</v>
      </c>
      <c r="B17" s="25">
        <v>33844</v>
      </c>
      <c r="C17" s="25">
        <v>38694</v>
      </c>
    </row>
    <row r="18" spans="1:3" x14ac:dyDescent="0.35">
      <c r="A18" s="25" t="s">
        <v>57</v>
      </c>
      <c r="B18" s="25">
        <v>33825</v>
      </c>
      <c r="C18" s="25">
        <v>39015</v>
      </c>
    </row>
    <row r="19" spans="1:3" x14ac:dyDescent="0.35">
      <c r="A19" s="25" t="s">
        <v>58</v>
      </c>
      <c r="B19" s="25">
        <v>17943</v>
      </c>
      <c r="C19" s="25">
        <v>37250</v>
      </c>
    </row>
    <row r="20" spans="1:3" x14ac:dyDescent="0.35">
      <c r="A20" s="33" t="s">
        <v>65</v>
      </c>
      <c r="B20" s="25">
        <v>22759</v>
      </c>
      <c r="C20" s="25">
        <v>34649</v>
      </c>
    </row>
    <row r="21" spans="1:3" x14ac:dyDescent="0.35">
      <c r="A21" s="25" t="s">
        <v>48</v>
      </c>
      <c r="B21" s="25">
        <v>29722</v>
      </c>
      <c r="C21" s="25">
        <v>37369</v>
      </c>
    </row>
    <row r="22" spans="1:3" x14ac:dyDescent="0.35">
      <c r="A22" s="25" t="s">
        <v>49</v>
      </c>
      <c r="B22" s="25">
        <v>39141</v>
      </c>
      <c r="C22" s="25">
        <v>43428</v>
      </c>
    </row>
    <row r="23" spans="1:3" x14ac:dyDescent="0.35">
      <c r="A23" s="25" t="s">
        <v>50</v>
      </c>
      <c r="B23" s="25">
        <v>25933</v>
      </c>
      <c r="C23" s="25">
        <v>35616</v>
      </c>
    </row>
    <row r="24" spans="1:3" x14ac:dyDescent="0.35">
      <c r="A24" s="25" t="s">
        <v>51</v>
      </c>
      <c r="B24" s="25">
        <v>35326</v>
      </c>
      <c r="C24" s="25">
        <v>38337</v>
      </c>
    </row>
    <row r="27" spans="1:3" x14ac:dyDescent="0.35">
      <c r="A27" s="25" t="s">
        <v>275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="50" zoomScaleNormal="50" workbookViewId="0">
      <pane xSplit="1" ySplit="6" topLeftCell="B12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4.5" x14ac:dyDescent="0.35"/>
  <cols>
    <col min="15" max="15" width="12.7265625" customWidth="1"/>
  </cols>
  <sheetData>
    <row r="1" spans="1:20" ht="26" x14ac:dyDescent="0.6">
      <c r="A1" s="14" t="s">
        <v>126</v>
      </c>
    </row>
    <row r="3" spans="1:20" x14ac:dyDescent="0.35">
      <c r="I3" s="21" t="s">
        <v>92</v>
      </c>
      <c r="O3" t="s">
        <v>91</v>
      </c>
    </row>
    <row r="4" spans="1:20" x14ac:dyDescent="0.35">
      <c r="I4" s="35" t="s">
        <v>90</v>
      </c>
      <c r="J4" s="35" t="s">
        <v>89</v>
      </c>
      <c r="K4" s="35" t="s">
        <v>88</v>
      </c>
      <c r="L4" s="35" t="s">
        <v>87</v>
      </c>
      <c r="M4" s="35" t="s">
        <v>86</v>
      </c>
      <c r="N4" s="35" t="s">
        <v>85</v>
      </c>
    </row>
    <row r="5" spans="1:20" x14ac:dyDescent="0.35">
      <c r="A5" s="21" t="s">
        <v>84</v>
      </c>
      <c r="B5" s="21"/>
      <c r="C5" s="21"/>
      <c r="D5" s="21"/>
      <c r="E5" s="21"/>
      <c r="F5" s="21"/>
      <c r="G5" s="21"/>
      <c r="H5" s="21"/>
      <c r="I5" s="20">
        <v>43800</v>
      </c>
      <c r="J5" s="20">
        <v>43921</v>
      </c>
      <c r="K5" s="20">
        <v>44012</v>
      </c>
      <c r="L5" s="20">
        <v>44075</v>
      </c>
      <c r="M5" s="20">
        <v>44167</v>
      </c>
      <c r="N5" s="20">
        <v>44286</v>
      </c>
      <c r="O5" s="20">
        <v>43800</v>
      </c>
      <c r="P5" s="20">
        <v>43921</v>
      </c>
      <c r="Q5" s="20">
        <v>44012</v>
      </c>
      <c r="R5" s="20">
        <v>44075</v>
      </c>
      <c r="S5" s="20">
        <v>44167</v>
      </c>
      <c r="T5" s="20">
        <v>44286</v>
      </c>
    </row>
    <row r="6" spans="1:20" x14ac:dyDescent="0.35">
      <c r="A6" s="21"/>
      <c r="B6" s="20">
        <v>43800</v>
      </c>
      <c r="C6" s="20">
        <v>43921</v>
      </c>
      <c r="D6" s="20">
        <v>44012</v>
      </c>
      <c r="E6" s="20">
        <v>44075</v>
      </c>
      <c r="F6" s="20">
        <v>44167</v>
      </c>
      <c r="G6" s="20">
        <v>44286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x14ac:dyDescent="0.35">
      <c r="A7" s="21" t="s">
        <v>83</v>
      </c>
      <c r="B7" s="34">
        <f t="shared" ref="B7:G11" si="0">O7/O15/10^6</f>
        <v>3.2029348992664777</v>
      </c>
      <c r="C7" s="34">
        <f t="shared" si="0"/>
        <v>3.2030303314443018</v>
      </c>
      <c r="D7" s="34">
        <f t="shared" si="0"/>
        <v>2.666590716780501</v>
      </c>
      <c r="E7" s="34">
        <f t="shared" si="0"/>
        <v>3.0682980294113276</v>
      </c>
      <c r="F7" s="34">
        <f t="shared" si="0"/>
        <v>3.1240879894163895</v>
      </c>
      <c r="G7" s="34">
        <f t="shared" si="0"/>
        <v>3.1600123276607532</v>
      </c>
      <c r="H7" s="21"/>
      <c r="I7" s="17">
        <v>1966370.9188314127</v>
      </c>
      <c r="J7" s="17">
        <v>1966429.5073026416</v>
      </c>
      <c r="K7" s="17">
        <v>1637094.2909591557</v>
      </c>
      <c r="L7" s="17">
        <v>1883713.5955288729</v>
      </c>
      <c r="M7" s="17">
        <v>1917964.6054204088</v>
      </c>
      <c r="N7" s="17">
        <v>1940019.556964431</v>
      </c>
      <c r="O7" s="17">
        <v>3115944.2288643746</v>
      </c>
      <c r="P7" s="17">
        <v>3129932.2658146936</v>
      </c>
      <c r="Q7" s="17">
        <v>2616407.6006362294</v>
      </c>
      <c r="R7" s="17">
        <v>3038091.2860452165</v>
      </c>
      <c r="S7" s="17">
        <v>3128993.1663731295</v>
      </c>
      <c r="T7" s="17">
        <v>3160012.3276607534</v>
      </c>
    </row>
    <row r="8" spans="1:20" x14ac:dyDescent="0.35">
      <c r="A8" s="21" t="s">
        <v>82</v>
      </c>
      <c r="B8" s="34">
        <f t="shared" si="0"/>
        <v>1.1599168340465995</v>
      </c>
      <c r="C8" s="34">
        <f t="shared" si="0"/>
        <v>1.1652286030028711</v>
      </c>
      <c r="D8" s="34">
        <f t="shared" si="0"/>
        <v>1.1589872701972379</v>
      </c>
      <c r="E8" s="34">
        <f t="shared" si="0"/>
        <v>1.1611797852638546</v>
      </c>
      <c r="F8" s="34">
        <f t="shared" si="0"/>
        <v>1.1643322780046641</v>
      </c>
      <c r="G8" s="34">
        <f t="shared" si="0"/>
        <v>1.1672297128287796</v>
      </c>
      <c r="H8" s="21"/>
      <c r="I8" s="17">
        <v>653065.42034755764</v>
      </c>
      <c r="J8" s="17">
        <v>656056.0939237955</v>
      </c>
      <c r="K8" s="17">
        <v>652542.05006082298</v>
      </c>
      <c r="L8" s="17">
        <v>653776.49698974902</v>
      </c>
      <c r="M8" s="17">
        <v>655551.43803421769</v>
      </c>
      <c r="N8" s="17">
        <v>657182.77438161708</v>
      </c>
      <c r="O8" s="17">
        <v>1100085.3431713847</v>
      </c>
      <c r="P8" s="17">
        <v>1109558.8918845693</v>
      </c>
      <c r="Q8" s="17">
        <v>1105325.5575458868</v>
      </c>
      <c r="R8" s="17">
        <v>1127094.6341226886</v>
      </c>
      <c r="S8" s="17">
        <v>1147622.9339229208</v>
      </c>
      <c r="T8" s="17">
        <v>1167229.7128287796</v>
      </c>
    </row>
    <row r="9" spans="1:20" x14ac:dyDescent="0.35">
      <c r="A9" s="21" t="s">
        <v>81</v>
      </c>
      <c r="B9" s="34">
        <f t="shared" si="0"/>
        <v>0.96909448430861411</v>
      </c>
      <c r="C9" s="34">
        <f t="shared" si="0"/>
        <v>0.92012894102225928</v>
      </c>
      <c r="D9" s="34">
        <f t="shared" si="0"/>
        <v>0.73441173937848669</v>
      </c>
      <c r="E9" s="34">
        <f t="shared" si="0"/>
        <v>0.77942835439276759</v>
      </c>
      <c r="F9" s="34">
        <f t="shared" si="0"/>
        <v>0.80200449692352549</v>
      </c>
      <c r="G9" s="34">
        <f t="shared" si="0"/>
        <v>0.79680748880511298</v>
      </c>
      <c r="H9" s="21"/>
      <c r="I9" s="17">
        <v>597189.95176640793</v>
      </c>
      <c r="J9" s="17">
        <v>567015.66958147089</v>
      </c>
      <c r="K9" s="17">
        <v>452570.22748305387</v>
      </c>
      <c r="L9" s="17">
        <v>480311.04180442001</v>
      </c>
      <c r="M9" s="17">
        <v>494223.25128173799</v>
      </c>
      <c r="N9" s="17">
        <v>491020.67291830981</v>
      </c>
      <c r="O9" s="17">
        <v>905248.46730487957</v>
      </c>
      <c r="P9" s="17">
        <v>867548.66574528941</v>
      </c>
      <c r="Q9" s="17">
        <v>697825.37705006718</v>
      </c>
      <c r="R9" s="17">
        <v>766688.86981574865</v>
      </c>
      <c r="S9" s="17">
        <v>802417.98863430927</v>
      </c>
      <c r="T9" s="17">
        <v>796807.48880511301</v>
      </c>
    </row>
    <row r="10" spans="1:20" x14ac:dyDescent="0.35">
      <c r="A10" s="21" t="s">
        <v>80</v>
      </c>
      <c r="B10" s="34">
        <f t="shared" si="0"/>
        <v>1.857463218053278</v>
      </c>
      <c r="C10" s="34">
        <f t="shared" si="0"/>
        <v>1.8530385986724571</v>
      </c>
      <c r="D10" s="34">
        <f t="shared" si="0"/>
        <v>1.2874681324254469</v>
      </c>
      <c r="E10" s="34">
        <f t="shared" si="0"/>
        <v>1.6862550617412484</v>
      </c>
      <c r="F10" s="34">
        <f t="shared" si="0"/>
        <v>1.7885414748432915</v>
      </c>
      <c r="G10" s="34">
        <f t="shared" si="0"/>
        <v>1.7847164339462596</v>
      </c>
      <c r="H10" s="21"/>
      <c r="I10" s="17">
        <v>913403.65718692471</v>
      </c>
      <c r="J10" s="17">
        <v>911227.85984955519</v>
      </c>
      <c r="K10" s="17">
        <v>633109.76456455048</v>
      </c>
      <c r="L10" s="17">
        <v>829212.40397894161</v>
      </c>
      <c r="M10" s="17">
        <v>879511.53394279489</v>
      </c>
      <c r="N10" s="17">
        <v>877630.57807229308</v>
      </c>
      <c r="O10" s="17">
        <v>1567235.7273074854</v>
      </c>
      <c r="P10" s="17">
        <v>1597179.0766928154</v>
      </c>
      <c r="Q10" s="17">
        <v>1150443.6013727456</v>
      </c>
      <c r="R10" s="17">
        <v>1591249.3633041782</v>
      </c>
      <c r="S10" s="17">
        <v>1722803.2574945416</v>
      </c>
      <c r="T10" s="17">
        <v>1784716.4339462596</v>
      </c>
    </row>
    <row r="11" spans="1:20" x14ac:dyDescent="0.35">
      <c r="A11" s="21" t="s">
        <v>79</v>
      </c>
      <c r="B11" s="34">
        <f t="shared" si="0"/>
        <v>1.520145110063915</v>
      </c>
      <c r="C11" s="34">
        <f t="shared" si="0"/>
        <v>1.4455384168319427</v>
      </c>
      <c r="D11" s="34">
        <f t="shared" si="0"/>
        <v>1.1984081873542234</v>
      </c>
      <c r="E11" s="34">
        <f t="shared" si="0"/>
        <v>1.1925827528993151</v>
      </c>
      <c r="F11" s="34">
        <f t="shared" si="0"/>
        <v>1.3250846639353948</v>
      </c>
      <c r="G11" s="34">
        <f t="shared" si="0"/>
        <v>1.4053297507531508</v>
      </c>
      <c r="H11" s="21"/>
      <c r="I11" s="17">
        <v>946888.83007824968</v>
      </c>
      <c r="J11" s="17">
        <v>900416.79000606283</v>
      </c>
      <c r="K11" s="17">
        <v>746480.92406936397</v>
      </c>
      <c r="L11" s="17">
        <v>742852.29757891432</v>
      </c>
      <c r="M11" s="17">
        <v>825386.90476441558</v>
      </c>
      <c r="N11" s="17">
        <v>875371.06474582537</v>
      </c>
      <c r="O11" s="17">
        <v>1479767.1568977092</v>
      </c>
      <c r="P11" s="17">
        <v>1390830.1100048989</v>
      </c>
      <c r="Q11" s="17">
        <v>1142857.4657783953</v>
      </c>
      <c r="R11" s="17">
        <v>1195036.4436738465</v>
      </c>
      <c r="S11" s="17">
        <v>1350799.9355628595</v>
      </c>
      <c r="T11" s="17">
        <v>1405329.7507531508</v>
      </c>
    </row>
    <row r="13" spans="1:20" x14ac:dyDescent="0.35">
      <c r="A13" t="s">
        <v>78</v>
      </c>
    </row>
    <row r="14" spans="1:20" x14ac:dyDescent="0.35">
      <c r="O14" t="s">
        <v>77</v>
      </c>
    </row>
    <row r="15" spans="1:20" x14ac:dyDescent="0.35">
      <c r="A15" s="21" t="s">
        <v>76</v>
      </c>
      <c r="B15" s="21"/>
      <c r="C15" s="21"/>
      <c r="D15" s="21"/>
      <c r="E15" s="21"/>
      <c r="F15" s="21"/>
      <c r="G15" s="21"/>
      <c r="H15" s="21"/>
      <c r="I15" s="29">
        <f t="shared" ref="I15:N19" si="1">O7/I7</f>
        <v>1.5846167165227085</v>
      </c>
      <c r="J15" s="29">
        <f t="shared" si="1"/>
        <v>1.5916829228768199</v>
      </c>
      <c r="K15" s="29">
        <f t="shared" si="1"/>
        <v>1.5982021408817599</v>
      </c>
      <c r="L15" s="29">
        <f t="shared" si="1"/>
        <v>1.6128201724807532</v>
      </c>
      <c r="M15" s="29">
        <f t="shared" si="1"/>
        <v>1.6314134043611659</v>
      </c>
      <c r="N15" s="29">
        <f t="shared" si="1"/>
        <v>1.6288559134966958</v>
      </c>
      <c r="O15" s="29">
        <f t="shared" ref="O15:T19" si="2">I15/$N15</f>
        <v>0.97284032515864582</v>
      </c>
      <c r="P15" s="29">
        <f t="shared" si="2"/>
        <v>0.97717846599452995</v>
      </c>
      <c r="Q15" s="29">
        <f t="shared" si="2"/>
        <v>0.98118079545223202</v>
      </c>
      <c r="R15" s="29">
        <f t="shared" si="2"/>
        <v>0.99015521208286716</v>
      </c>
      <c r="S15" s="29">
        <f t="shared" si="2"/>
        <v>1.0015701148537932</v>
      </c>
      <c r="T15" s="29">
        <f t="shared" si="2"/>
        <v>1</v>
      </c>
    </row>
    <row r="16" spans="1:20" x14ac:dyDescent="0.35">
      <c r="A16" s="21" t="s">
        <v>75</v>
      </c>
      <c r="B16" s="21"/>
      <c r="C16" s="21"/>
      <c r="D16" s="21"/>
      <c r="E16" s="21"/>
      <c r="F16" s="21"/>
      <c r="G16" s="21"/>
      <c r="H16" s="21"/>
      <c r="I16" s="29">
        <f t="shared" si="1"/>
        <v>1.6844948590080386</v>
      </c>
      <c r="J16" s="29">
        <f t="shared" si="1"/>
        <v>1.6912561321523989</v>
      </c>
      <c r="K16" s="29">
        <f t="shared" si="1"/>
        <v>1.693876367726586</v>
      </c>
      <c r="L16" s="29">
        <f t="shared" si="1"/>
        <v>1.723975455392305</v>
      </c>
      <c r="M16" s="29">
        <f t="shared" si="1"/>
        <v>1.7506222507333111</v>
      </c>
      <c r="N16" s="29">
        <f t="shared" si="1"/>
        <v>1.7761112407839608</v>
      </c>
      <c r="O16" s="29">
        <f t="shared" si="2"/>
        <v>0.94841743035448423</v>
      </c>
      <c r="P16" s="29">
        <f t="shared" si="2"/>
        <v>0.95222421508119759</v>
      </c>
      <c r="Q16" s="29">
        <f t="shared" si="2"/>
        <v>0.95369948054544318</v>
      </c>
      <c r="R16" s="29">
        <f t="shared" si="2"/>
        <v>0.97064610358040215</v>
      </c>
      <c r="S16" s="29">
        <f t="shared" si="2"/>
        <v>0.98564899007147833</v>
      </c>
      <c r="T16" s="29">
        <f t="shared" si="2"/>
        <v>1</v>
      </c>
    </row>
    <row r="17" spans="1:20" x14ac:dyDescent="0.35">
      <c r="A17" s="21" t="s">
        <v>74</v>
      </c>
      <c r="B17" s="21"/>
      <c r="C17" s="21"/>
      <c r="D17" s="21"/>
      <c r="E17" s="21"/>
      <c r="F17" s="21"/>
      <c r="G17" s="21"/>
      <c r="H17" s="21"/>
      <c r="I17" s="29">
        <f t="shared" si="1"/>
        <v>1.515846783133701</v>
      </c>
      <c r="J17" s="29">
        <f t="shared" si="1"/>
        <v>1.5300259098406395</v>
      </c>
      <c r="K17" s="29">
        <f t="shared" si="1"/>
        <v>1.541916225755696</v>
      </c>
      <c r="L17" s="29">
        <f t="shared" si="1"/>
        <v>1.5962341130769593</v>
      </c>
      <c r="M17" s="29">
        <f t="shared" si="1"/>
        <v>1.623594168330379</v>
      </c>
      <c r="N17" s="29">
        <f t="shared" si="1"/>
        <v>1.6227575186792114</v>
      </c>
      <c r="O17" s="29">
        <f t="shared" si="2"/>
        <v>0.93411786153206255</v>
      </c>
      <c r="P17" s="29">
        <f t="shared" si="2"/>
        <v>0.9428555358572317</v>
      </c>
      <c r="Q17" s="29">
        <f t="shared" si="2"/>
        <v>0.95018276483518416</v>
      </c>
      <c r="R17" s="29">
        <f t="shared" si="2"/>
        <v>0.9836553488140114</v>
      </c>
      <c r="S17" s="29">
        <f t="shared" si="2"/>
        <v>1.0005155728083446</v>
      </c>
      <c r="T17" s="29">
        <f t="shared" si="2"/>
        <v>1</v>
      </c>
    </row>
    <row r="18" spans="1:20" x14ac:dyDescent="0.35">
      <c r="A18" s="21" t="s">
        <v>73</v>
      </c>
      <c r="B18" s="21"/>
      <c r="C18" s="21"/>
      <c r="D18" s="21"/>
      <c r="E18" s="21"/>
      <c r="F18" s="21"/>
      <c r="G18" s="21"/>
      <c r="H18" s="21"/>
      <c r="I18" s="29">
        <f t="shared" si="1"/>
        <v>1.7158194134389768</v>
      </c>
      <c r="J18" s="29">
        <f t="shared" si="1"/>
        <v>1.7527768268153165</v>
      </c>
      <c r="K18" s="29">
        <f t="shared" si="1"/>
        <v>1.8171313503022886</v>
      </c>
      <c r="L18" s="29">
        <f t="shared" si="1"/>
        <v>1.9189888569787832</v>
      </c>
      <c r="M18" s="29">
        <f t="shared" si="1"/>
        <v>1.9588182656017288</v>
      </c>
      <c r="N18" s="29">
        <f t="shared" si="1"/>
        <v>2.0335622738514556</v>
      </c>
      <c r="O18" s="29">
        <f t="shared" si="2"/>
        <v>0.84375061216557135</v>
      </c>
      <c r="P18" s="29">
        <f t="shared" si="2"/>
        <v>0.86192434298835274</v>
      </c>
      <c r="Q18" s="29">
        <f t="shared" si="2"/>
        <v>0.89357054547473547</v>
      </c>
      <c r="R18" s="29">
        <f t="shared" si="2"/>
        <v>0.9436587615998222</v>
      </c>
      <c r="S18" s="29">
        <f t="shared" si="2"/>
        <v>0.96324479008544661</v>
      </c>
      <c r="T18" s="29">
        <f t="shared" si="2"/>
        <v>1</v>
      </c>
    </row>
    <row r="19" spans="1:20" x14ac:dyDescent="0.35">
      <c r="A19" s="21" t="s">
        <v>72</v>
      </c>
      <c r="B19" s="21"/>
      <c r="C19" s="21"/>
      <c r="D19" s="21"/>
      <c r="E19" s="21"/>
      <c r="F19" s="21"/>
      <c r="G19" s="21"/>
      <c r="H19" s="21"/>
      <c r="I19" s="29">
        <f t="shared" si="1"/>
        <v>1.5627675709042035</v>
      </c>
      <c r="J19" s="29">
        <f t="shared" si="1"/>
        <v>1.5446514607924335</v>
      </c>
      <c r="K19" s="29">
        <f t="shared" si="1"/>
        <v>1.5309935310178127</v>
      </c>
      <c r="L19" s="29">
        <f t="shared" si="1"/>
        <v>1.6087133977624886</v>
      </c>
      <c r="M19" s="29">
        <f t="shared" si="1"/>
        <v>1.636565746034472</v>
      </c>
      <c r="N19" s="29">
        <f t="shared" si="1"/>
        <v>1.6054103309448609</v>
      </c>
      <c r="O19" s="29">
        <f t="shared" si="2"/>
        <v>0.97343809291699268</v>
      </c>
      <c r="P19" s="29">
        <f t="shared" si="2"/>
        <v>0.96215368184614347</v>
      </c>
      <c r="Q19" s="29">
        <f t="shared" si="2"/>
        <v>0.95364624327336278</v>
      </c>
      <c r="R19" s="29">
        <f t="shared" si="2"/>
        <v>1.0020574595503466</v>
      </c>
      <c r="S19" s="29">
        <f t="shared" si="2"/>
        <v>1.019406512147754</v>
      </c>
      <c r="T19" s="29">
        <f t="shared" si="2"/>
        <v>1</v>
      </c>
    </row>
    <row r="21" spans="1:20" x14ac:dyDescent="0.35">
      <c r="A21" t="s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66" zoomScaleNormal="66" workbookViewId="0">
      <pane xSplit="2" ySplit="6" topLeftCell="C7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3" x14ac:dyDescent="0.3"/>
  <cols>
    <col min="1" max="16384" width="8.7265625" style="58"/>
  </cols>
  <sheetData>
    <row r="1" spans="1:5" ht="26" x14ac:dyDescent="0.6">
      <c r="A1" s="14" t="s">
        <v>127</v>
      </c>
    </row>
    <row r="6" spans="1:5" ht="14.5" x14ac:dyDescent="0.35">
      <c r="C6" s="59" t="s">
        <v>120</v>
      </c>
      <c r="D6" s="59" t="s">
        <v>121</v>
      </c>
      <c r="E6" s="59" t="s">
        <v>122</v>
      </c>
    </row>
    <row r="7" spans="1:5" ht="14.5" x14ac:dyDescent="0.35">
      <c r="A7" s="60" t="s">
        <v>123</v>
      </c>
      <c r="B7" s="58">
        <v>2002</v>
      </c>
      <c r="C7" s="61">
        <v>5.9260439605166582E-2</v>
      </c>
      <c r="D7" s="61">
        <v>5.4172348950495497E-2</v>
      </c>
      <c r="E7" s="61">
        <v>3.6677968768751512E-2</v>
      </c>
    </row>
    <row r="8" spans="1:5" ht="14.5" x14ac:dyDescent="0.35">
      <c r="B8" s="58">
        <v>2003</v>
      </c>
      <c r="C8" s="61">
        <v>-1.3930018638602437E-2</v>
      </c>
      <c r="D8" s="61">
        <v>5.3854124103765999E-2</v>
      </c>
      <c r="E8" s="61">
        <v>2.9490781458874959E-2</v>
      </c>
    </row>
    <row r="9" spans="1:5" ht="14.5" x14ac:dyDescent="0.35">
      <c r="B9" s="58">
        <v>2004</v>
      </c>
      <c r="C9" s="61">
        <v>5.6507846139999707E-2</v>
      </c>
      <c r="D9" s="61">
        <v>2.1593829662230446E-2</v>
      </c>
      <c r="E9" s="61">
        <v>4.5545699205685519E-2</v>
      </c>
    </row>
    <row r="10" spans="1:5" ht="14.5" x14ac:dyDescent="0.35">
      <c r="B10" s="58">
        <v>2005</v>
      </c>
      <c r="C10" s="61">
        <v>0.19009148964738709</v>
      </c>
      <c r="D10" s="61">
        <v>0.10911344795123212</v>
      </c>
      <c r="E10" s="61">
        <v>5.2771117349823538E-2</v>
      </c>
    </row>
    <row r="11" spans="1:5" ht="14.5" x14ac:dyDescent="0.35">
      <c r="B11" s="58">
        <v>2006</v>
      </c>
      <c r="C11" s="61">
        <v>0.12544970344637485</v>
      </c>
      <c r="D11" s="61">
        <v>9.4935247085172314E-2</v>
      </c>
      <c r="E11" s="61">
        <v>5.6036647889724067E-2</v>
      </c>
    </row>
    <row r="12" spans="1:5" ht="14.5" x14ac:dyDescent="0.35">
      <c r="B12" s="58">
        <v>2007</v>
      </c>
      <c r="C12" s="61">
        <v>0.12308330615788643</v>
      </c>
      <c r="D12" s="61">
        <v>0.1056489402694194</v>
      </c>
      <c r="E12" s="61">
        <v>5.360465139616144E-2</v>
      </c>
    </row>
    <row r="13" spans="1:5" ht="14.5" x14ac:dyDescent="0.35">
      <c r="B13" s="58">
        <v>2008</v>
      </c>
      <c r="C13" s="61">
        <v>3.3149385878097126E-2</v>
      </c>
      <c r="D13" s="61">
        <v>0.11244586618213392</v>
      </c>
      <c r="E13" s="61">
        <v>3.1910516450526449E-2</v>
      </c>
    </row>
    <row r="14" spans="1:5" ht="14.5" x14ac:dyDescent="0.35">
      <c r="B14" s="58">
        <v>2009</v>
      </c>
      <c r="C14" s="61">
        <v>-0.14163784274458302</v>
      </c>
      <c r="D14" s="61">
        <v>5.5498391050067042E-2</v>
      </c>
      <c r="E14" s="61">
        <v>-1.5381008639149374E-2</v>
      </c>
    </row>
    <row r="15" spans="1:5" ht="14.5" x14ac:dyDescent="0.35">
      <c r="B15" s="58">
        <v>2010</v>
      </c>
      <c r="C15" s="61">
        <v>5.0022317072936806E-2</v>
      </c>
      <c r="D15" s="61">
        <v>-1.4119746647963893E-2</v>
      </c>
      <c r="E15" s="61">
        <v>3.039777062767457E-2</v>
      </c>
    </row>
    <row r="16" spans="1:5" ht="14.5" x14ac:dyDescent="0.35">
      <c r="B16" s="58">
        <v>2011</v>
      </c>
      <c r="C16" s="61">
        <v>5.424652356951043E-2</v>
      </c>
      <c r="D16" s="61">
        <v>5.0736463863393588E-2</v>
      </c>
      <c r="E16" s="61">
        <v>3.2841971347972843E-2</v>
      </c>
    </row>
    <row r="17" spans="1:5" ht="14.5" x14ac:dyDescent="0.35">
      <c r="A17" s="60" t="s">
        <v>124</v>
      </c>
      <c r="B17" s="58">
        <v>2012</v>
      </c>
      <c r="C17" s="61">
        <v>3.1063486128757312E-2</v>
      </c>
      <c r="D17" s="61">
        <v>4.1952029599343188E-2</v>
      </c>
      <c r="E17" s="61">
        <v>2.213258977865995E-2</v>
      </c>
    </row>
    <row r="18" spans="1:5" ht="14.5" x14ac:dyDescent="0.35">
      <c r="B18" s="58">
        <v>2013</v>
      </c>
      <c r="C18" s="61">
        <v>4.6128505418494559E-2</v>
      </c>
      <c r="D18" s="61">
        <v>2.3670794707034704E-2</v>
      </c>
      <c r="E18" s="61">
        <v>2.4852847702025116E-2</v>
      </c>
    </row>
    <row r="19" spans="1:5" ht="14.5" x14ac:dyDescent="0.35">
      <c r="B19" s="58">
        <v>2014</v>
      </c>
      <c r="C19" s="61">
        <v>2.7117068206242489E-2</v>
      </c>
      <c r="D19" s="61">
        <v>1.9851088034716691E-2</v>
      </c>
      <c r="E19" s="61">
        <v>1.8469811407060943E-2</v>
      </c>
    </row>
    <row r="20" spans="1:5" ht="14.5" x14ac:dyDescent="0.35">
      <c r="B20" s="58">
        <v>2015</v>
      </c>
      <c r="C20" s="61">
        <v>5.0824300088446961E-2</v>
      </c>
      <c r="D20" s="61">
        <v>3.6537477775714367E-2</v>
      </c>
      <c r="E20" s="61">
        <v>1.1937227757431224E-2</v>
      </c>
    </row>
    <row r="21" spans="1:5" ht="14.5" x14ac:dyDescent="0.35">
      <c r="B21" s="58">
        <v>2016</v>
      </c>
      <c r="C21" s="61">
        <v>1.6499803217632447E-2</v>
      </c>
      <c r="D21" s="61">
        <v>8.3510109394735466E-3</v>
      </c>
      <c r="E21" s="61">
        <v>3.990552950049242E-3</v>
      </c>
    </row>
    <row r="22" spans="1:5" ht="14.5" x14ac:dyDescent="0.35">
      <c r="B22" s="58">
        <v>2017</v>
      </c>
      <c r="C22" s="61">
        <v>-1.0793013612344415E-2</v>
      </c>
      <c r="D22" s="61">
        <v>1.2622775325712432E-2</v>
      </c>
      <c r="E22" s="61">
        <v>1.4145780953139342E-2</v>
      </c>
    </row>
    <row r="23" spans="1:5" ht="14.5" x14ac:dyDescent="0.35">
      <c r="B23" s="58">
        <v>2018</v>
      </c>
      <c r="C23" s="61">
        <v>4.4794352427546258E-3</v>
      </c>
      <c r="D23" s="61">
        <v>1.0515790350304366E-2</v>
      </c>
      <c r="E23" s="61">
        <v>7.870232667859911E-3</v>
      </c>
    </row>
    <row r="24" spans="1:5" ht="14.5" x14ac:dyDescent="0.35">
      <c r="B24" s="58">
        <v>2019</v>
      </c>
      <c r="C24" s="61">
        <v>1.6604082407857712E-2</v>
      </c>
      <c r="D24" s="61">
        <v>8.112386006734762E-2</v>
      </c>
      <c r="E24" s="61">
        <v>1.5258198419545455E-3</v>
      </c>
    </row>
    <row r="25" spans="1:5" ht="14.5" x14ac:dyDescent="0.35">
      <c r="A25" s="60" t="s">
        <v>125</v>
      </c>
      <c r="B25" s="58">
        <v>2020</v>
      </c>
      <c r="C25" s="61">
        <v>-0.14638126140704399</v>
      </c>
      <c r="D25" s="61">
        <v>2.0836485826362106E-2</v>
      </c>
      <c r="E25" s="61">
        <v>-6.9595918124989442E-2</v>
      </c>
    </row>
    <row r="26" spans="1:5" ht="14.5" x14ac:dyDescent="0.35">
      <c r="B26" s="58">
        <v>2021</v>
      </c>
      <c r="C26" s="61">
        <v>8.0863892074758859E-2</v>
      </c>
      <c r="D26" s="61">
        <v>-2.3784402989017739E-2</v>
      </c>
      <c r="E26" s="61">
        <v>5.4000000000000048E-2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59" zoomScaleNormal="59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ColWidth="9.08984375" defaultRowHeight="14.5" x14ac:dyDescent="0.35"/>
  <cols>
    <col min="1" max="1" width="33.08984375" customWidth="1"/>
    <col min="2" max="2" width="12" bestFit="1" customWidth="1"/>
    <col min="3" max="3" width="10.7265625" customWidth="1"/>
    <col min="4" max="8" width="10.7265625" bestFit="1" customWidth="1"/>
    <col min="9" max="10" width="10.1796875" bestFit="1" customWidth="1"/>
    <col min="11" max="11" width="10.1796875" style="1" customWidth="1"/>
    <col min="14" max="14" width="10.453125" bestFit="1" customWidth="1"/>
    <col min="15" max="15" width="10.54296875" bestFit="1" customWidth="1"/>
    <col min="17" max="17" width="9.08984375" style="63"/>
  </cols>
  <sheetData>
    <row r="1" spans="1:17" s="1" customFormat="1" ht="26" customHeight="1" x14ac:dyDescent="0.6">
      <c r="A1" s="15" t="s">
        <v>128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Q1" s="63"/>
    </row>
    <row r="2" spans="1:17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2"/>
    </row>
    <row r="3" spans="1:17" s="70" customFormat="1" x14ac:dyDescent="0.35">
      <c r="A3" s="65"/>
      <c r="B3" s="66">
        <v>2008</v>
      </c>
      <c r="C3" s="66">
        <v>2009</v>
      </c>
      <c r="D3" s="66">
        <v>2010</v>
      </c>
      <c r="E3" s="66">
        <v>2011</v>
      </c>
      <c r="F3" s="66">
        <v>2012</v>
      </c>
      <c r="G3" s="66">
        <v>2013</v>
      </c>
      <c r="H3" s="66">
        <v>2014</v>
      </c>
      <c r="I3" s="66">
        <v>2015</v>
      </c>
      <c r="J3" s="66">
        <v>2016</v>
      </c>
      <c r="K3" s="67">
        <v>2017</v>
      </c>
      <c r="L3" s="66">
        <v>2018</v>
      </c>
      <c r="M3" s="68">
        <v>2019</v>
      </c>
      <c r="N3" s="69">
        <v>2020</v>
      </c>
      <c r="O3" s="66" t="s">
        <v>15</v>
      </c>
      <c r="P3" s="66" t="s">
        <v>14</v>
      </c>
      <c r="Q3" s="66" t="s">
        <v>129</v>
      </c>
    </row>
    <row r="4" spans="1:17" x14ac:dyDescent="0.35">
      <c r="A4" s="64" t="s">
        <v>13</v>
      </c>
      <c r="B4" s="62">
        <f t="shared" ref="B4:N7" si="0">ROUND(B10/10,0)*10</f>
        <v>840</v>
      </c>
      <c r="C4" s="71">
        <f t="shared" si="0"/>
        <v>780</v>
      </c>
      <c r="D4" s="72">
        <f t="shared" si="0"/>
        <v>680</v>
      </c>
      <c r="E4" s="72">
        <f t="shared" si="0"/>
        <v>630</v>
      </c>
      <c r="F4" s="72">
        <f t="shared" si="0"/>
        <v>690</v>
      </c>
      <c r="G4" s="71">
        <f t="shared" si="0"/>
        <v>760</v>
      </c>
      <c r="H4" s="71">
        <f t="shared" si="0"/>
        <v>710</v>
      </c>
      <c r="I4" s="71">
        <f t="shared" si="0"/>
        <v>890</v>
      </c>
      <c r="J4" s="71">
        <f t="shared" si="0"/>
        <v>870</v>
      </c>
      <c r="K4" s="71">
        <f t="shared" si="0"/>
        <v>880</v>
      </c>
      <c r="L4" s="71">
        <f t="shared" si="0"/>
        <v>850</v>
      </c>
      <c r="M4" s="71">
        <f t="shared" si="0"/>
        <v>840</v>
      </c>
      <c r="N4" s="71">
        <f t="shared" si="0"/>
        <v>860</v>
      </c>
      <c r="O4" s="73">
        <f>ROUND(O10/10,0)*10</f>
        <v>810</v>
      </c>
      <c r="P4" s="73">
        <f t="shared" ref="P4:P7" si="1">ROUND(P10/10,0)*10</f>
        <v>790</v>
      </c>
      <c r="Q4" s="29">
        <f>P4/O4-1</f>
        <v>-2.4691358024691357E-2</v>
      </c>
    </row>
    <row r="5" spans="1:17" x14ac:dyDescent="0.35">
      <c r="A5" s="64" t="s">
        <v>130</v>
      </c>
      <c r="B5" s="62">
        <f t="shared" si="0"/>
        <v>2110</v>
      </c>
      <c r="C5" s="71">
        <f t="shared" si="0"/>
        <v>2030</v>
      </c>
      <c r="D5" s="72">
        <f t="shared" si="0"/>
        <v>1850</v>
      </c>
      <c r="E5" s="72">
        <f t="shared" si="0"/>
        <v>1910</v>
      </c>
      <c r="F5" s="72">
        <f t="shared" si="0"/>
        <v>1840</v>
      </c>
      <c r="G5" s="72">
        <f>ROUND(G11/10,0)*10</f>
        <v>1860</v>
      </c>
      <c r="H5" s="72">
        <f t="shared" si="0"/>
        <v>1800</v>
      </c>
      <c r="I5" s="72">
        <f t="shared" si="0"/>
        <v>1780</v>
      </c>
      <c r="J5" s="72">
        <f t="shared" si="0"/>
        <v>1640</v>
      </c>
      <c r="K5" s="71">
        <f t="shared" si="0"/>
        <v>1790</v>
      </c>
      <c r="L5" s="71">
        <f t="shared" si="0"/>
        <v>1850</v>
      </c>
      <c r="M5" s="71">
        <f t="shared" si="0"/>
        <v>1780</v>
      </c>
      <c r="N5" s="71">
        <f t="shared" si="0"/>
        <v>1710</v>
      </c>
      <c r="O5" s="73">
        <f>ROUND(O11/10,0)*10</f>
        <v>1490</v>
      </c>
      <c r="P5" s="74">
        <f t="shared" si="1"/>
        <v>1500</v>
      </c>
      <c r="Q5" s="29">
        <f t="shared" ref="Q5:Q27" si="2">P5/O5-1</f>
        <v>6.7114093959732557E-3</v>
      </c>
    </row>
    <row r="6" spans="1:17" x14ac:dyDescent="0.35">
      <c r="A6" s="64" t="s">
        <v>131</v>
      </c>
      <c r="B6" s="62">
        <f t="shared" si="0"/>
        <v>100</v>
      </c>
      <c r="C6" s="71">
        <f t="shared" si="0"/>
        <v>110</v>
      </c>
      <c r="D6" s="72">
        <f t="shared" si="0"/>
        <v>80</v>
      </c>
      <c r="E6" s="72">
        <f t="shared" si="0"/>
        <v>100</v>
      </c>
      <c r="F6" s="72">
        <f t="shared" si="0"/>
        <v>90</v>
      </c>
      <c r="G6" s="71">
        <f t="shared" si="0"/>
        <v>120</v>
      </c>
      <c r="H6" s="71">
        <f t="shared" si="0"/>
        <v>130</v>
      </c>
      <c r="I6" s="71">
        <f t="shared" si="0"/>
        <v>140</v>
      </c>
      <c r="J6" s="71">
        <f t="shared" si="0"/>
        <v>110</v>
      </c>
      <c r="K6" s="71">
        <f t="shared" si="0"/>
        <v>150</v>
      </c>
      <c r="L6" s="71">
        <f t="shared" si="0"/>
        <v>140</v>
      </c>
      <c r="M6" s="71">
        <f t="shared" si="0"/>
        <v>150</v>
      </c>
      <c r="N6" s="71">
        <f t="shared" si="0"/>
        <v>120</v>
      </c>
      <c r="O6" s="73">
        <f>ROUND(O12/10,0)*10</f>
        <v>100</v>
      </c>
      <c r="P6" s="74">
        <f t="shared" si="1"/>
        <v>120</v>
      </c>
      <c r="Q6" s="29">
        <f t="shared" si="2"/>
        <v>0.19999999999999996</v>
      </c>
    </row>
    <row r="7" spans="1:17" x14ac:dyDescent="0.35">
      <c r="A7" s="64" t="s">
        <v>132</v>
      </c>
      <c r="B7" s="62">
        <f t="shared" si="0"/>
        <v>1180</v>
      </c>
      <c r="C7" s="71">
        <f t="shared" si="0"/>
        <v>1220</v>
      </c>
      <c r="D7" s="72">
        <f t="shared" si="0"/>
        <v>1100</v>
      </c>
      <c r="E7" s="72">
        <f t="shared" si="0"/>
        <v>1090</v>
      </c>
      <c r="F7" s="72">
        <f t="shared" si="0"/>
        <v>1040</v>
      </c>
      <c r="G7" s="71">
        <f t="shared" si="0"/>
        <v>1080</v>
      </c>
      <c r="H7" s="71">
        <f t="shared" si="0"/>
        <v>1200</v>
      </c>
      <c r="I7" s="71">
        <f t="shared" si="0"/>
        <v>1320</v>
      </c>
      <c r="J7" s="71">
        <f t="shared" si="0"/>
        <v>1360</v>
      </c>
      <c r="K7" s="71">
        <f t="shared" si="0"/>
        <v>1510</v>
      </c>
      <c r="L7" s="71">
        <f t="shared" si="0"/>
        <v>1430</v>
      </c>
      <c r="M7" s="71">
        <f t="shared" si="0"/>
        <v>1340</v>
      </c>
      <c r="N7" s="71">
        <f t="shared" si="0"/>
        <v>1340</v>
      </c>
      <c r="O7" s="73">
        <f>ROUND(O13/10,0)*10</f>
        <v>1170</v>
      </c>
      <c r="P7" s="73">
        <f t="shared" si="1"/>
        <v>1080</v>
      </c>
      <c r="Q7" s="29">
        <f t="shared" si="2"/>
        <v>-7.6923076923076872E-2</v>
      </c>
    </row>
    <row r="8" spans="1:17" x14ac:dyDescent="0.35">
      <c r="A8" s="75" t="s">
        <v>133</v>
      </c>
      <c r="B8" s="62">
        <f t="shared" ref="B8:J8" si="3">B14/1000</f>
        <v>10.205421618896423</v>
      </c>
      <c r="C8" s="71">
        <f>C14/1000</f>
        <v>10.472653938963369</v>
      </c>
      <c r="D8" s="72">
        <f t="shared" si="3"/>
        <v>10.084792919698881</v>
      </c>
      <c r="E8" s="72">
        <f t="shared" si="3"/>
        <v>10.17731696152218</v>
      </c>
      <c r="F8" s="72">
        <f t="shared" si="3"/>
        <v>10.616010197175939</v>
      </c>
      <c r="G8" s="72">
        <f t="shared" si="3"/>
        <v>10.730523662317248</v>
      </c>
      <c r="H8" s="72">
        <f>H14/1000</f>
        <v>11.213037213440469</v>
      </c>
      <c r="I8" s="72">
        <f>I14/1000</f>
        <v>11.324768457460547</v>
      </c>
      <c r="J8" s="72">
        <f t="shared" si="3"/>
        <v>11.687868052061802</v>
      </c>
      <c r="K8" s="71">
        <v>11.896543919969721</v>
      </c>
      <c r="L8" s="71">
        <f>L14/1000</f>
        <v>12.108233094169332</v>
      </c>
      <c r="M8" s="71">
        <f>M14/1000</f>
        <v>12.185543918928349</v>
      </c>
      <c r="N8" s="71">
        <f t="shared" ref="N8" si="4">N14/1000</f>
        <v>12.353139000000001</v>
      </c>
      <c r="O8" s="73">
        <f>O14/1000</f>
        <v>11.457518888150862</v>
      </c>
      <c r="P8" s="73">
        <f t="shared" ref="P8" si="5">P14/1000</f>
        <v>11.511859000000001</v>
      </c>
      <c r="Q8" s="29">
        <f t="shared" si="2"/>
        <v>4.742746870383785E-3</v>
      </c>
    </row>
    <row r="9" spans="1:17" x14ac:dyDescent="0.35">
      <c r="A9" s="64"/>
      <c r="B9" s="72"/>
      <c r="C9" s="71"/>
      <c r="D9" s="72"/>
      <c r="E9" s="72"/>
      <c r="F9" s="72"/>
      <c r="G9" s="71"/>
      <c r="H9" s="71"/>
      <c r="I9" s="71"/>
      <c r="J9" s="71"/>
      <c r="K9" s="71"/>
      <c r="L9" s="71"/>
      <c r="M9" s="71"/>
      <c r="N9" s="72"/>
      <c r="O9" s="76"/>
      <c r="P9" s="77"/>
      <c r="Q9" s="29"/>
    </row>
    <row r="10" spans="1:17" x14ac:dyDescent="0.35">
      <c r="A10" s="64" t="s">
        <v>13</v>
      </c>
      <c r="B10" s="72">
        <v>838.05878871336745</v>
      </c>
      <c r="C10" s="71">
        <v>777.99476959435287</v>
      </c>
      <c r="D10" s="72">
        <v>683.11531114478009</v>
      </c>
      <c r="E10" s="72">
        <v>627.31448352835412</v>
      </c>
      <c r="F10" s="72">
        <v>693.80710129236149</v>
      </c>
      <c r="G10" s="71">
        <v>763.91499694195818</v>
      </c>
      <c r="H10" s="71">
        <v>708.69209108153063</v>
      </c>
      <c r="I10" s="71">
        <v>891.4848689317372</v>
      </c>
      <c r="J10" s="71">
        <v>869.26377328116371</v>
      </c>
      <c r="K10" s="71">
        <v>875.05551586645254</v>
      </c>
      <c r="L10" s="71">
        <v>846.6101194308967</v>
      </c>
      <c r="M10" s="71">
        <v>837.19830537656287</v>
      </c>
      <c r="N10" s="72">
        <f>864705/1000</f>
        <v>864.70500000000004</v>
      </c>
      <c r="O10" s="25">
        <v>810.20859416321014</v>
      </c>
      <c r="P10" s="78">
        <v>792.32399999999996</v>
      </c>
      <c r="Q10" s="29">
        <f t="shared" si="2"/>
        <v>-2.2074061287490454E-2</v>
      </c>
    </row>
    <row r="11" spans="1:17" x14ac:dyDescent="0.35">
      <c r="A11" s="64" t="s">
        <v>130</v>
      </c>
      <c r="B11" s="72">
        <v>2111.2997571693186</v>
      </c>
      <c r="C11" s="71">
        <v>2031.461682834856</v>
      </c>
      <c r="D11" s="72">
        <v>1846.3144271279368</v>
      </c>
      <c r="E11" s="72">
        <v>1905.7981599096424</v>
      </c>
      <c r="F11" s="72">
        <v>1837.6347337142749</v>
      </c>
      <c r="G11" s="72">
        <v>1856.195368679922</v>
      </c>
      <c r="H11" s="72">
        <v>1804.1720621900051</v>
      </c>
      <c r="I11" s="72">
        <v>1778.5954019479886</v>
      </c>
      <c r="J11" s="72">
        <v>1644.6823720360915</v>
      </c>
      <c r="K11" s="71">
        <v>1789.777150156895</v>
      </c>
      <c r="L11" s="71">
        <v>1849.0172085352781</v>
      </c>
      <c r="M11" s="71">
        <v>1780.0865505618044</v>
      </c>
      <c r="N11" s="72">
        <f>1705840/1000</f>
        <v>1705.84</v>
      </c>
      <c r="O11" s="25">
        <v>1490.6311042011862</v>
      </c>
      <c r="P11" s="78">
        <v>1497.41</v>
      </c>
      <c r="Q11" s="29">
        <f t="shared" si="2"/>
        <v>4.5476682860758899E-3</v>
      </c>
    </row>
    <row r="12" spans="1:17" x14ac:dyDescent="0.35">
      <c r="A12" s="64" t="s">
        <v>131</v>
      </c>
      <c r="B12" s="72">
        <v>102.4347424244844</v>
      </c>
      <c r="C12" s="71">
        <v>112.41541138784298</v>
      </c>
      <c r="D12" s="72">
        <v>78.183713422028845</v>
      </c>
      <c r="E12" s="72">
        <v>99.681411815502685</v>
      </c>
      <c r="F12" s="72">
        <v>94.50332257136634</v>
      </c>
      <c r="G12" s="71">
        <v>124.21252417726056</v>
      </c>
      <c r="H12" s="71">
        <v>129.59238207301078</v>
      </c>
      <c r="I12" s="71">
        <v>143.01621537935253</v>
      </c>
      <c r="J12" s="71">
        <v>110.44288588105999</v>
      </c>
      <c r="K12" s="71">
        <v>145.37948877569258</v>
      </c>
      <c r="L12" s="71">
        <v>143.14684910914406</v>
      </c>
      <c r="M12" s="71">
        <v>149.94463100341244</v>
      </c>
      <c r="N12" s="72">
        <f>115544/1000</f>
        <v>115.544</v>
      </c>
      <c r="O12" s="25">
        <v>99.112065250700837</v>
      </c>
      <c r="P12" s="78">
        <v>115.008</v>
      </c>
      <c r="Q12" s="29">
        <f t="shared" si="2"/>
        <v>0.16038344785865277</v>
      </c>
    </row>
    <row r="13" spans="1:17" x14ac:dyDescent="0.35">
      <c r="A13" s="64" t="s">
        <v>132</v>
      </c>
      <c r="B13" s="72">
        <v>1180.5254486936433</v>
      </c>
      <c r="C13" s="71">
        <v>1220.9761043562839</v>
      </c>
      <c r="D13" s="72">
        <v>1104.8465082747498</v>
      </c>
      <c r="E13" s="72">
        <v>1093.4821376113205</v>
      </c>
      <c r="F13" s="72">
        <v>1042.1203413073256</v>
      </c>
      <c r="G13" s="71">
        <v>1083.5284554514224</v>
      </c>
      <c r="H13" s="71">
        <v>1199.2975852300999</v>
      </c>
      <c r="I13" s="71">
        <v>1321.5547715688663</v>
      </c>
      <c r="J13" s="71">
        <v>1362.2562642919042</v>
      </c>
      <c r="K13" s="71">
        <v>1505.4943758580728</v>
      </c>
      <c r="L13" s="71">
        <v>1430.5165523700402</v>
      </c>
      <c r="M13" s="71">
        <v>1338.6628440529134</v>
      </c>
      <c r="N13" s="72">
        <f>1343329/1000</f>
        <v>1343.329</v>
      </c>
      <c r="O13" s="25">
        <v>1166.0805835105587</v>
      </c>
      <c r="P13" s="78">
        <v>1078.751</v>
      </c>
      <c r="Q13" s="29">
        <f t="shared" si="2"/>
        <v>-7.4891551017552738E-2</v>
      </c>
    </row>
    <row r="14" spans="1:17" x14ac:dyDescent="0.35">
      <c r="A14" s="64" t="s">
        <v>134</v>
      </c>
      <c r="B14" s="72">
        <f>B24-SUM(B10:B13)</f>
        <v>10205.421618896424</v>
      </c>
      <c r="C14" s="71">
        <f t="shared" ref="C14:K14" si="6">C24-SUM(C10:C13)</f>
        <v>10472.653938963369</v>
      </c>
      <c r="D14" s="72">
        <f t="shared" si="6"/>
        <v>10084.792919698881</v>
      </c>
      <c r="E14" s="72">
        <f t="shared" si="6"/>
        <v>10177.31696152218</v>
      </c>
      <c r="F14" s="72">
        <f t="shared" si="6"/>
        <v>10616.01019717594</v>
      </c>
      <c r="G14" s="72">
        <f t="shared" si="6"/>
        <v>10730.523662317248</v>
      </c>
      <c r="H14" s="72">
        <f t="shared" si="6"/>
        <v>11213.037213440468</v>
      </c>
      <c r="I14" s="72">
        <f t="shared" si="6"/>
        <v>11324.768457460546</v>
      </c>
      <c r="J14" s="72">
        <f t="shared" si="6"/>
        <v>11687.868052061802</v>
      </c>
      <c r="K14" s="71">
        <f t="shared" si="6"/>
        <v>11896.543919969732</v>
      </c>
      <c r="L14" s="71">
        <f>L24-SUM(L10:L13)</f>
        <v>12108.233094169333</v>
      </c>
      <c r="M14" s="71">
        <f>M24-SUM(M10:M13)</f>
        <v>12185.54391892835</v>
      </c>
      <c r="N14" s="79">
        <f>N24-SUM(N10:N13)</f>
        <v>12353.139000000001</v>
      </c>
      <c r="O14" s="80">
        <f>O24-SUM(O10:O13)</f>
        <v>11457.518888150862</v>
      </c>
      <c r="P14" s="81">
        <f>P24-SUM(P10:P13)</f>
        <v>11511.859</v>
      </c>
      <c r="Q14" s="29">
        <f t="shared" si="2"/>
        <v>4.7427468703835629E-3</v>
      </c>
    </row>
    <row r="15" spans="1:17" x14ac:dyDescent="0.35">
      <c r="A15" s="64"/>
      <c r="B15" s="72"/>
      <c r="C15" s="71"/>
      <c r="D15" s="72"/>
      <c r="E15" s="72"/>
      <c r="F15" s="72"/>
      <c r="G15" s="71"/>
      <c r="H15" s="71"/>
      <c r="I15" s="71"/>
      <c r="J15" s="71"/>
      <c r="K15" s="71"/>
      <c r="L15" s="71"/>
      <c r="M15" s="71"/>
      <c r="N15" s="72"/>
      <c r="O15" s="25"/>
      <c r="P15" s="77"/>
      <c r="Q15" s="29"/>
    </row>
    <row r="16" spans="1:17" x14ac:dyDescent="0.35">
      <c r="A16" s="64" t="s">
        <v>9</v>
      </c>
      <c r="B16" s="72">
        <v>3318.5785529155437</v>
      </c>
      <c r="C16" s="71">
        <v>3206.766799116213</v>
      </c>
      <c r="D16" s="72">
        <v>3021.2700707166923</v>
      </c>
      <c r="E16" s="72">
        <v>3118.7316390179731</v>
      </c>
      <c r="F16" s="72">
        <v>3207.534417655892</v>
      </c>
      <c r="G16" s="71">
        <v>3032.3022254406769</v>
      </c>
      <c r="H16" s="71">
        <v>3186.3388093782964</v>
      </c>
      <c r="I16" s="71">
        <v>3045.8961003444892</v>
      </c>
      <c r="J16" s="71">
        <v>3157.8233553486139</v>
      </c>
      <c r="K16" s="71">
        <v>3207.1914139558448</v>
      </c>
      <c r="L16" s="71">
        <v>3275.8589471383489</v>
      </c>
      <c r="M16" s="71">
        <v>3344.5685858924812</v>
      </c>
      <c r="N16" s="72">
        <f>3319860/1000</f>
        <v>3319.86</v>
      </c>
      <c r="O16" s="25">
        <v>3063.1133266272277</v>
      </c>
      <c r="P16" s="82">
        <v>2979.1909999999998</v>
      </c>
      <c r="Q16" s="29">
        <f t="shared" si="2"/>
        <v>-2.7397721755085813E-2</v>
      </c>
    </row>
    <row r="17" spans="1:17" x14ac:dyDescent="0.35">
      <c r="A17" s="64" t="s">
        <v>135</v>
      </c>
      <c r="B17" s="72">
        <v>807.58366975787499</v>
      </c>
      <c r="C17" s="71">
        <v>819.15883455164396</v>
      </c>
      <c r="D17" s="72">
        <v>838.05123539501676</v>
      </c>
      <c r="E17" s="72">
        <v>775.51173232839221</v>
      </c>
      <c r="F17" s="72">
        <v>832.61105554579581</v>
      </c>
      <c r="G17" s="72">
        <v>871.83343996933525</v>
      </c>
      <c r="H17" s="72">
        <v>894.99976225101682</v>
      </c>
      <c r="I17" s="72">
        <v>898.54600045021573</v>
      </c>
      <c r="J17" s="72">
        <v>901.21277644614759</v>
      </c>
      <c r="K17" s="71">
        <v>964.6005841463442</v>
      </c>
      <c r="L17" s="71">
        <v>960.3958753425685</v>
      </c>
      <c r="M17" s="71">
        <v>1024.6879354650175</v>
      </c>
      <c r="N17" s="72">
        <f>994507/1000</f>
        <v>994.50699999999995</v>
      </c>
      <c r="O17" s="25">
        <v>942.80507338461348</v>
      </c>
      <c r="P17" s="82">
        <v>902.71600000000001</v>
      </c>
      <c r="Q17" s="29">
        <f t="shared" si="2"/>
        <v>-4.2521062429899836E-2</v>
      </c>
    </row>
    <row r="18" spans="1:17" x14ac:dyDescent="0.35">
      <c r="A18" s="64" t="s">
        <v>136</v>
      </c>
      <c r="B18" s="72">
        <v>1779.7907691646569</v>
      </c>
      <c r="C18" s="71">
        <v>1863.7394377689654</v>
      </c>
      <c r="D18" s="72">
        <v>1779.9305201843899</v>
      </c>
      <c r="E18" s="72">
        <v>1738.544931805134</v>
      </c>
      <c r="F18" s="72">
        <v>1855.1837043843623</v>
      </c>
      <c r="G18" s="71">
        <v>1915.8828077543819</v>
      </c>
      <c r="H18" s="71">
        <v>2045.4576217618155</v>
      </c>
      <c r="I18" s="71">
        <v>2194.8972598510013</v>
      </c>
      <c r="J18" s="71">
        <v>2226.5919840720167</v>
      </c>
      <c r="K18" s="71">
        <v>2378.1353006929667</v>
      </c>
      <c r="L18" s="71">
        <v>2402.4133071064866</v>
      </c>
      <c r="M18" s="71">
        <v>2516.4987264471042</v>
      </c>
      <c r="N18" s="72">
        <f>2517206/1000</f>
        <v>2517.2060000000001</v>
      </c>
      <c r="O18" s="25">
        <v>2311.5158946942688</v>
      </c>
      <c r="P18" s="82">
        <v>2526.7550000000001</v>
      </c>
      <c r="Q18" s="29">
        <f t="shared" si="2"/>
        <v>9.3115996216932784E-2</v>
      </c>
    </row>
    <row r="19" spans="1:17" x14ac:dyDescent="0.35">
      <c r="A19" s="64" t="s">
        <v>137</v>
      </c>
      <c r="B19" s="72">
        <v>2714.0665780580348</v>
      </c>
      <c r="C19" s="71">
        <v>2823.851744890741</v>
      </c>
      <c r="D19" s="72">
        <v>2843.4966732687276</v>
      </c>
      <c r="E19" s="72">
        <v>2989.7671176778681</v>
      </c>
      <c r="F19" s="72">
        <v>3094.0184560624439</v>
      </c>
      <c r="G19" s="71">
        <v>3295.7474227587986</v>
      </c>
      <c r="H19" s="71">
        <v>3428.0379558875147</v>
      </c>
      <c r="I19" s="71">
        <v>3449.9297023807535</v>
      </c>
      <c r="J19" s="71">
        <v>3670.5317097105558</v>
      </c>
      <c r="K19" s="71">
        <v>3569.2366285690546</v>
      </c>
      <c r="L19" s="71">
        <v>3785.3634252228612</v>
      </c>
      <c r="M19" s="71">
        <v>3574.2979592302049</v>
      </c>
      <c r="N19" s="72">
        <f>3758892/1000</f>
        <v>3758.8919999999998</v>
      </c>
      <c r="O19" s="25">
        <v>3550.8521078596073</v>
      </c>
      <c r="P19" s="82">
        <v>3567.1370000000002</v>
      </c>
      <c r="Q19" s="29">
        <f t="shared" si="2"/>
        <v>4.5861927350754339E-3</v>
      </c>
    </row>
    <row r="20" spans="1:17" x14ac:dyDescent="0.35">
      <c r="A20" s="64" t="s">
        <v>138</v>
      </c>
      <c r="B20" s="72">
        <v>1232.6325208253047</v>
      </c>
      <c r="C20" s="71">
        <v>1392.6964777258511</v>
      </c>
      <c r="D20" s="72">
        <v>1270.8585436057028</v>
      </c>
      <c r="E20" s="72">
        <v>1213.6162603923162</v>
      </c>
      <c r="F20" s="72">
        <v>1257.184783547691</v>
      </c>
      <c r="G20" s="72">
        <v>1218.9893602860755</v>
      </c>
      <c r="H20" s="72">
        <v>1230.5519334333724</v>
      </c>
      <c r="I20" s="72">
        <v>1288.0790472831152</v>
      </c>
      <c r="J20" s="72">
        <v>1257.0343924987271</v>
      </c>
      <c r="K20" s="71">
        <v>1319.3520884411732</v>
      </c>
      <c r="L20" s="71">
        <v>1274.7207860188921</v>
      </c>
      <c r="M20" s="71">
        <v>1300.6837710996808</v>
      </c>
      <c r="N20" s="72">
        <f>1315726/1000</f>
        <v>1315.7260000000001</v>
      </c>
      <c r="O20" s="25">
        <v>1196.7317787969305</v>
      </c>
      <c r="P20" s="82">
        <v>1126.8979999999999</v>
      </c>
      <c r="Q20" s="29">
        <f t="shared" si="2"/>
        <v>-5.8353743114546663E-2</v>
      </c>
    </row>
    <row r="21" spans="1:17" x14ac:dyDescent="0.35">
      <c r="A21" s="64" t="s">
        <v>134</v>
      </c>
      <c r="B21" s="72"/>
      <c r="C21" s="71">
        <v>5.0370794299954298</v>
      </c>
      <c r="D21" s="72">
        <v>6.7792622935512696</v>
      </c>
      <c r="E21" s="72">
        <v>5.7991330313653666</v>
      </c>
      <c r="F21" s="72">
        <v>6.9048393109120676</v>
      </c>
      <c r="G21" s="71">
        <v>2.5916429785440398</v>
      </c>
      <c r="H21" s="71">
        <v>3.4520692965645097</v>
      </c>
      <c r="I21" s="71">
        <v>4.4751246493606907</v>
      </c>
      <c r="J21" s="71">
        <v>3.5709968519210649</v>
      </c>
      <c r="K21" s="71">
        <v>11.074858183644027</v>
      </c>
      <c r="L21" s="71">
        <v>12.475198660462842</v>
      </c>
      <c r="M21" s="71">
        <v>7.332940034151008</v>
      </c>
      <c r="N21" s="72">
        <f>11188/1000</f>
        <v>11.188000000000001</v>
      </c>
      <c r="O21" s="25">
        <v>8.9448953553862012</v>
      </c>
      <c r="P21" s="82">
        <v>13.930999999999999</v>
      </c>
      <c r="Q21" s="29">
        <f t="shared" si="2"/>
        <v>0.55742459207322059</v>
      </c>
    </row>
    <row r="22" spans="1:17" x14ac:dyDescent="0.35">
      <c r="A22" s="64" t="s">
        <v>12</v>
      </c>
      <c r="B22" s="72">
        <v>352.76952817504542</v>
      </c>
      <c r="C22" s="71">
        <v>361.40356547994935</v>
      </c>
      <c r="D22" s="72">
        <v>324.40661423482567</v>
      </c>
      <c r="E22" s="72">
        <v>335.34614726910235</v>
      </c>
      <c r="F22" s="72">
        <v>362.57294066883435</v>
      </c>
      <c r="G22" s="71">
        <v>393.17676312938261</v>
      </c>
      <c r="H22" s="71">
        <v>424.19906143197778</v>
      </c>
      <c r="I22" s="71">
        <v>442.94522250162936</v>
      </c>
      <c r="J22" s="71">
        <v>471.10283713386019</v>
      </c>
      <c r="K22" s="71">
        <v>446.95304598069458</v>
      </c>
      <c r="L22" s="71">
        <v>397.00555467978739</v>
      </c>
      <c r="M22" s="71">
        <v>417.47400075973326</v>
      </c>
      <c r="N22" s="72">
        <f>435760/1000</f>
        <v>435.76</v>
      </c>
      <c r="O22" s="25">
        <v>383.55581143279801</v>
      </c>
      <c r="P22" s="82">
        <v>395.23099999999999</v>
      </c>
      <c r="Q22" s="29">
        <f t="shared" si="2"/>
        <v>3.0439347336671974E-2</v>
      </c>
    </row>
    <row r="23" spans="1:17" x14ac:dyDescent="0.35">
      <c r="A23" s="64"/>
      <c r="B23" s="72"/>
      <c r="C23" s="71"/>
      <c r="D23" s="72"/>
      <c r="E23" s="72"/>
      <c r="F23" s="72"/>
      <c r="G23" s="72"/>
      <c r="H23" s="72"/>
      <c r="I23" s="72"/>
      <c r="J23" s="72"/>
      <c r="K23" s="71"/>
      <c r="L23" s="71"/>
      <c r="M23" s="71"/>
      <c r="N23" s="72"/>
      <c r="O23" s="64"/>
      <c r="P23" s="64"/>
      <c r="Q23" s="29"/>
    </row>
    <row r="24" spans="1:17" s="70" customFormat="1" x14ac:dyDescent="0.35">
      <c r="A24" s="65" t="s">
        <v>106</v>
      </c>
      <c r="B24" s="72">
        <v>14437.740355897236</v>
      </c>
      <c r="C24" s="72">
        <v>14615.501907136706</v>
      </c>
      <c r="D24" s="72">
        <v>13797.252879668376</v>
      </c>
      <c r="E24" s="72">
        <v>13903.593154386999</v>
      </c>
      <c r="F24" s="72">
        <v>14284.075696061267</v>
      </c>
      <c r="G24" s="71">
        <v>14558.375007567811</v>
      </c>
      <c r="H24" s="71">
        <v>15054.791334015114</v>
      </c>
      <c r="I24" s="71">
        <v>15459.419715288492</v>
      </c>
      <c r="J24" s="71">
        <v>15674.513347552022</v>
      </c>
      <c r="K24" s="71">
        <v>16212.250450626845</v>
      </c>
      <c r="L24" s="71">
        <v>16377.523823614691</v>
      </c>
      <c r="M24" s="71">
        <v>16291.436249923043</v>
      </c>
      <c r="N24" s="72">
        <f>16382557/1000</f>
        <v>16382.557000000001</v>
      </c>
      <c r="O24" s="83">
        <v>15023.551235276518</v>
      </c>
      <c r="P24" s="82">
        <v>14995.352000000001</v>
      </c>
      <c r="Q24" s="29">
        <f>P24/O24-1</f>
        <v>-1.8770019707660124E-3</v>
      </c>
    </row>
    <row r="25" spans="1:17" x14ac:dyDescent="0.35">
      <c r="A25" s="64"/>
      <c r="B25" s="72"/>
      <c r="C25" s="72"/>
      <c r="D25" s="72"/>
      <c r="E25" s="72"/>
      <c r="F25" s="72"/>
      <c r="G25" s="71"/>
      <c r="H25" s="71"/>
      <c r="I25" s="71"/>
      <c r="J25" s="71"/>
      <c r="K25" s="71"/>
      <c r="L25" s="71"/>
      <c r="M25" s="71"/>
      <c r="N25" s="72"/>
      <c r="O25" s="64"/>
      <c r="P25" s="64"/>
      <c r="Q25" s="29"/>
    </row>
    <row r="26" spans="1:17" x14ac:dyDescent="0.35">
      <c r="A26" s="84" t="s">
        <v>139</v>
      </c>
      <c r="B26" s="72">
        <f>B24-B10-B22</f>
        <v>13246.912039008823</v>
      </c>
      <c r="C26" s="85">
        <f t="shared" ref="C26:K26" si="7">C24-C10-C22</f>
        <v>13476.103572062404</v>
      </c>
      <c r="D26" s="62">
        <f t="shared" si="7"/>
        <v>12789.730954288771</v>
      </c>
      <c r="E26" s="62">
        <f t="shared" si="7"/>
        <v>12940.932523589543</v>
      </c>
      <c r="F26" s="62">
        <f t="shared" si="7"/>
        <v>13227.695654100071</v>
      </c>
      <c r="G26" s="62">
        <f t="shared" si="7"/>
        <v>13401.283247496471</v>
      </c>
      <c r="H26" s="62">
        <f t="shared" si="7"/>
        <v>13921.900181501604</v>
      </c>
      <c r="I26" s="62">
        <f t="shared" si="7"/>
        <v>14124.989623855126</v>
      </c>
      <c r="J26" s="62">
        <f t="shared" si="7"/>
        <v>14334.146737136998</v>
      </c>
      <c r="K26" s="85">
        <f t="shared" si="7"/>
        <v>14890.241888779699</v>
      </c>
      <c r="L26" s="85">
        <f>L24-L10-L22</f>
        <v>15133.908149504006</v>
      </c>
      <c r="M26" s="85">
        <f>M24-M10-M22</f>
        <v>15036.763943786746</v>
      </c>
      <c r="N26" s="62">
        <f t="shared" ref="N26" si="8">N24-(N22+N10)</f>
        <v>15082.092000000001</v>
      </c>
      <c r="O26" s="64">
        <f>O24-(O22+O10)</f>
        <v>13829.78682968051</v>
      </c>
      <c r="P26" s="64">
        <f t="shared" ref="P26" si="9">P24-(P22+P10)</f>
        <v>13807.797</v>
      </c>
      <c r="Q26" s="29">
        <f t="shared" si="2"/>
        <v>-1.5900338849270668E-3</v>
      </c>
    </row>
    <row r="27" spans="1:17" x14ac:dyDescent="0.35">
      <c r="A27" s="64" t="s">
        <v>140</v>
      </c>
      <c r="B27" s="72">
        <f>SUM(B4:B7)</f>
        <v>4230</v>
      </c>
      <c r="C27" s="85">
        <f t="shared" ref="C27:K27" si="10">SUM(C4:C7)</f>
        <v>4140</v>
      </c>
      <c r="D27" s="62">
        <f t="shared" si="10"/>
        <v>3710</v>
      </c>
      <c r="E27" s="62">
        <f>SUM(E4:E7)</f>
        <v>3730</v>
      </c>
      <c r="F27" s="62">
        <f t="shared" si="10"/>
        <v>3660</v>
      </c>
      <c r="G27" s="85">
        <f t="shared" si="10"/>
        <v>3820</v>
      </c>
      <c r="H27" s="85">
        <f t="shared" si="10"/>
        <v>3840</v>
      </c>
      <c r="I27" s="85">
        <f t="shared" si="10"/>
        <v>4130</v>
      </c>
      <c r="J27" s="85">
        <f t="shared" si="10"/>
        <v>3980</v>
      </c>
      <c r="K27" s="85">
        <f t="shared" si="10"/>
        <v>4330</v>
      </c>
      <c r="L27" s="85">
        <f>SUM(L4:L7)</f>
        <v>4270</v>
      </c>
      <c r="M27" s="85">
        <f>SUM(M4:M7)</f>
        <v>4110</v>
      </c>
      <c r="N27" s="86">
        <f t="shared" ref="N27:P27" si="11">SUM(N4:N7)</f>
        <v>4030</v>
      </c>
      <c r="O27" s="87">
        <f t="shared" si="11"/>
        <v>3570</v>
      </c>
      <c r="P27" s="87">
        <f t="shared" si="11"/>
        <v>3490</v>
      </c>
      <c r="Q27" s="29">
        <f t="shared" si="2"/>
        <v>-2.2408963585434205E-2</v>
      </c>
    </row>
    <row r="28" spans="1:17" x14ac:dyDescent="0.35">
      <c r="A28" s="64"/>
      <c r="B28" s="62"/>
      <c r="C28" s="85"/>
      <c r="D28" s="62"/>
      <c r="E28" s="62"/>
      <c r="F28" s="62"/>
      <c r="G28" s="85"/>
      <c r="H28" s="85"/>
      <c r="I28" s="85"/>
      <c r="J28" s="85"/>
      <c r="K28" s="85"/>
      <c r="L28" s="85"/>
      <c r="M28" s="85"/>
      <c r="N28" s="62"/>
      <c r="O28" s="64"/>
      <c r="P28" s="64"/>
      <c r="Q28" s="64"/>
    </row>
    <row r="29" spans="1:17" x14ac:dyDescent="0.35">
      <c r="A29" s="64"/>
      <c r="B29" s="62"/>
      <c r="C29" s="85"/>
      <c r="D29" s="62"/>
      <c r="E29" s="62"/>
      <c r="F29" s="62"/>
      <c r="G29" s="62"/>
      <c r="H29" s="62"/>
      <c r="I29" s="62"/>
      <c r="J29" s="62"/>
      <c r="K29" s="85"/>
      <c r="L29" s="85"/>
      <c r="M29" s="85"/>
      <c r="N29" s="62"/>
      <c r="O29" s="64"/>
      <c r="P29" s="64"/>
      <c r="Q29" s="64"/>
    </row>
    <row r="30" spans="1:17" x14ac:dyDescent="0.35">
      <c r="A30" s="64"/>
      <c r="B30" s="62"/>
      <c r="C30" s="85"/>
      <c r="D30" s="62"/>
      <c r="E30" s="62"/>
      <c r="F30" s="62"/>
      <c r="G30" s="85"/>
      <c r="H30" s="85"/>
      <c r="I30" s="85"/>
      <c r="J30" s="85"/>
      <c r="K30" s="85"/>
      <c r="L30" s="85"/>
      <c r="M30" s="85"/>
      <c r="N30" s="1"/>
    </row>
    <row r="31" spans="1:17" s="1" customFormat="1" x14ac:dyDescent="0.35">
      <c r="A31" s="62" t="s">
        <v>141</v>
      </c>
      <c r="B31" s="62"/>
      <c r="C31" s="85"/>
      <c r="D31" s="62"/>
      <c r="E31" s="62"/>
      <c r="F31" s="62"/>
      <c r="G31" s="85"/>
      <c r="H31" s="85"/>
      <c r="I31" s="85"/>
      <c r="J31" s="85"/>
      <c r="K31" s="85"/>
      <c r="L31" s="85"/>
      <c r="M31" s="85"/>
      <c r="N31" s="88"/>
      <c r="O31" s="88"/>
      <c r="Q31" s="63"/>
    </row>
    <row r="32" spans="1:17" x14ac:dyDescent="0.35">
      <c r="B32" s="62"/>
      <c r="C32" s="85"/>
      <c r="D32" s="62"/>
      <c r="E32" s="62"/>
      <c r="F32" s="62"/>
      <c r="G32" s="62"/>
      <c r="H32" s="62"/>
      <c r="I32" s="62"/>
      <c r="J32" s="62"/>
      <c r="K32" s="85"/>
      <c r="L32" s="85"/>
      <c r="M32" s="85"/>
      <c r="N32" s="89"/>
      <c r="O32" s="90"/>
    </row>
    <row r="33" spans="2:14" x14ac:dyDescent="0.35">
      <c r="B33" s="62"/>
      <c r="C33" s="85"/>
      <c r="D33" s="62"/>
      <c r="E33" s="62"/>
      <c r="F33" s="62"/>
      <c r="G33" s="85"/>
      <c r="H33" s="85"/>
      <c r="I33" s="85"/>
      <c r="J33" s="85"/>
      <c r="K33" s="85"/>
      <c r="L33" s="85"/>
      <c r="M33" s="85"/>
      <c r="N33" s="91"/>
    </row>
    <row r="35" spans="2:14" x14ac:dyDescent="0.35">
      <c r="B35" s="92"/>
      <c r="C35" s="92"/>
      <c r="D35" s="92"/>
      <c r="E35" s="92"/>
      <c r="F35" s="92"/>
      <c r="G35" s="92"/>
      <c r="H35" s="92"/>
      <c r="I35" s="92"/>
      <c r="J35" s="92"/>
      <c r="K35" s="93"/>
      <c r="L35" s="93"/>
    </row>
    <row r="36" spans="2:14" x14ac:dyDescent="0.35">
      <c r="B36" s="92"/>
      <c r="C36" s="92"/>
      <c r="D36" s="92"/>
      <c r="E36" s="92"/>
      <c r="F36" s="92"/>
      <c r="G36" s="92"/>
      <c r="H36" s="92"/>
      <c r="I36" s="92"/>
      <c r="J36" s="92"/>
      <c r="K36" s="94"/>
      <c r="L36" s="64"/>
      <c r="M36" s="64"/>
    </row>
    <row r="37" spans="2:14" x14ac:dyDescent="0.35">
      <c r="B37" s="92"/>
      <c r="C37" s="92"/>
      <c r="D37" s="92"/>
      <c r="E37" s="92"/>
      <c r="F37" s="92"/>
      <c r="G37" s="92"/>
      <c r="H37" s="92"/>
      <c r="I37" s="92"/>
      <c r="J37" s="92"/>
      <c r="K37" s="94"/>
      <c r="L37" s="93"/>
      <c r="M37" s="95"/>
    </row>
    <row r="38" spans="2:14" x14ac:dyDescent="0.35">
      <c r="B38" s="92"/>
      <c r="C38" s="92"/>
      <c r="D38" s="92"/>
      <c r="E38" s="92"/>
      <c r="F38" s="92"/>
      <c r="G38" s="92"/>
      <c r="H38" s="92"/>
      <c r="I38" s="92"/>
      <c r="J38" s="92"/>
      <c r="K38" s="94"/>
    </row>
    <row r="39" spans="2:14" x14ac:dyDescent="0.35">
      <c r="B39" s="92"/>
      <c r="C39" s="92"/>
      <c r="D39" s="92"/>
      <c r="E39" s="92"/>
      <c r="F39" s="92"/>
      <c r="G39" s="92"/>
      <c r="H39" s="92"/>
      <c r="I39" s="92"/>
      <c r="J39" s="92"/>
      <c r="K39" s="93"/>
      <c r="L39" s="93"/>
    </row>
    <row r="40" spans="2:14" x14ac:dyDescent="0.35">
      <c r="B40" s="92"/>
      <c r="C40" s="92"/>
      <c r="D40" s="92"/>
      <c r="E40" s="92"/>
      <c r="F40" s="92"/>
      <c r="G40" s="92"/>
      <c r="H40" s="92"/>
      <c r="I40" s="92"/>
      <c r="J40" s="92"/>
      <c r="K40" s="94"/>
      <c r="L40" s="93"/>
    </row>
    <row r="41" spans="2:14" x14ac:dyDescent="0.35">
      <c r="B41" s="92"/>
      <c r="C41" s="92"/>
      <c r="D41" s="92"/>
      <c r="E41" s="92"/>
      <c r="F41" s="92"/>
      <c r="G41" s="92"/>
      <c r="H41" s="92"/>
      <c r="I41" s="92"/>
      <c r="J41" s="92"/>
      <c r="K41" s="94"/>
    </row>
    <row r="42" spans="2:14" x14ac:dyDescent="0.35">
      <c r="B42" s="92"/>
      <c r="C42" s="92"/>
      <c r="D42" s="92"/>
      <c r="E42" s="92"/>
      <c r="F42" s="92"/>
      <c r="G42" s="92"/>
      <c r="H42" s="92"/>
      <c r="I42" s="92"/>
      <c r="J42" s="92"/>
      <c r="K42" s="94"/>
    </row>
    <row r="43" spans="2:14" x14ac:dyDescent="0.35">
      <c r="B43" s="92"/>
      <c r="C43" s="92"/>
      <c r="D43" s="92"/>
      <c r="E43" s="92"/>
      <c r="F43" s="92"/>
      <c r="G43" s="92"/>
      <c r="H43" s="92"/>
      <c r="I43" s="92"/>
      <c r="J43" s="92"/>
      <c r="K43" s="94"/>
    </row>
    <row r="44" spans="2:14" x14ac:dyDescent="0.35">
      <c r="B44" s="92"/>
      <c r="C44" s="92"/>
      <c r="D44" s="92"/>
      <c r="E44" s="92"/>
      <c r="F44" s="92"/>
      <c r="G44" s="92"/>
      <c r="H44" s="92"/>
      <c r="I44" s="92"/>
      <c r="J44" s="92"/>
      <c r="K44" s="94"/>
    </row>
    <row r="45" spans="2:14" x14ac:dyDescent="0.35">
      <c r="B45" s="92"/>
      <c r="C45" s="92"/>
      <c r="D45" s="92"/>
      <c r="E45" s="92"/>
      <c r="F45" s="92"/>
      <c r="G45" s="92"/>
      <c r="H45" s="92"/>
      <c r="I45" s="92"/>
      <c r="J45" s="92"/>
      <c r="K45" s="94"/>
    </row>
    <row r="46" spans="2:14" x14ac:dyDescent="0.35">
      <c r="B46" s="92"/>
      <c r="C46" s="92"/>
      <c r="D46" s="92"/>
      <c r="E46" s="92"/>
      <c r="F46" s="92"/>
      <c r="G46" s="92"/>
      <c r="H46" s="92"/>
      <c r="I46" s="92"/>
      <c r="J46" s="92"/>
      <c r="K46" s="9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1. Quarterly GDP growth</vt:lpstr>
      <vt:lpstr>2. GDP growth by sector</vt:lpstr>
      <vt:lpstr>3. Manufacturing sales</vt:lpstr>
      <vt:lpstr>4. Mfg sales by industry</vt:lpstr>
      <vt:lpstr>5. Mining production &amp; sales</vt:lpstr>
      <vt:lpstr>6. Auto sales</vt:lpstr>
      <vt:lpstr>7. Expenditure on GDP</vt:lpstr>
      <vt:lpstr>8. Budget rel GDP</vt:lpstr>
      <vt:lpstr>9. Employment by sector </vt:lpstr>
      <vt:lpstr>10. Employment in mfg and other</vt:lpstr>
      <vt:lpstr>11. Employment by occupation</vt:lpstr>
      <vt:lpstr>12. Empl by mfg industry</vt:lpstr>
      <vt:lpstr>13. Mining employment</vt:lpstr>
      <vt:lpstr>14. Exports, imports, BOT</vt:lpstr>
      <vt:lpstr>15. Exports by sector</vt:lpstr>
      <vt:lpstr>16. Mining exports</vt:lpstr>
      <vt:lpstr>17. Imports by sector</vt:lpstr>
      <vt:lpstr>Table 1. Trade by mfg subsector</vt:lpstr>
      <vt:lpstr>18. Investment by organisation</vt:lpstr>
      <vt:lpstr>19. Quarterly investment</vt:lpstr>
      <vt:lpstr>20. Return on assets</vt:lpstr>
      <vt:lpstr>21. Mining &amp; mfg profits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</dc:creator>
  <cp:lastModifiedBy>Neva</cp:lastModifiedBy>
  <dcterms:created xsi:type="dcterms:W3CDTF">2021-06-09T12:30:24Z</dcterms:created>
  <dcterms:modified xsi:type="dcterms:W3CDTF">2021-06-11T09:20:17Z</dcterms:modified>
</cp:coreProperties>
</file>